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3" yWindow="150" windowWidth="14938" windowHeight="9153" activeTab="1"/>
  </bookViews>
  <sheets>
    <sheet name="Sheet1" sheetId="1" r:id="rId1"/>
    <sheet name="Chart1" sheetId="2" r:id="rId2"/>
    <sheet name="Sheet3" sheetId="3" r:id="rId3"/>
    <sheet name="Sheet2" sheetId="4" r:id="rId4"/>
    <sheet name="ставки" sheetId="5" r:id="rId5"/>
    <sheet name="1.1" sheetId="6" r:id="rId6"/>
    <sheet name="1.2" sheetId="7" r:id="rId7"/>
    <sheet name="1.3" sheetId="8" r:id="rId8"/>
    <sheet name="1.4_осн." sheetId="9" r:id="rId9"/>
    <sheet name="1.4_макс." sheetId="10" r:id="rId10"/>
    <sheet name="1.5" sheetId="11" r:id="rId11"/>
    <sheet name="1.6" sheetId="12" r:id="rId12"/>
    <sheet name="1.7" sheetId="13" r:id="rId13"/>
    <sheet name="2.1" sheetId="14" r:id="rId14"/>
    <sheet name="2.2" sheetId="15" r:id="rId15"/>
    <sheet name="3.1" sheetId="16" r:id="rId16"/>
    <sheet name="4.1" sheetId="17" r:id="rId17"/>
  </sheets>
  <externalReferences>
    <externalReference r:id="rId20"/>
    <externalReference r:id="rId21"/>
    <externalReference r:id="rId22"/>
  </externalReferences>
  <definedNames>
    <definedName name="_ftn1" localSheetId="3">'Sheet2'!$A$16</definedName>
    <definedName name="_ftn2" localSheetId="3">'Sheet2'!$A$17</definedName>
    <definedName name="_ftn3" localSheetId="3">'Sheet2'!$A$19</definedName>
    <definedName name="_ftnref1" localSheetId="3">'Sheet2'!#REF!</definedName>
  </definedNames>
  <calcPr fullCalcOnLoad="1"/>
</workbook>
</file>

<file path=xl/sharedStrings.xml><?xml version="1.0" encoding="utf-8"?>
<sst xmlns="http://schemas.openxmlformats.org/spreadsheetml/2006/main" count="619" uniqueCount="462">
  <si>
    <t>Услуга 1.1. Сопровождение опекунских семей</t>
  </si>
  <si>
    <t>в расчете на 25 семей</t>
  </si>
  <si>
    <t>Статья затрат</t>
  </si>
  <si>
    <t>месяц - всего</t>
  </si>
  <si>
    <t>на 1 семью в месяц</t>
  </si>
  <si>
    <t>Примечания</t>
  </si>
  <si>
    <t>ТЕКУЩИЕ ЗАТРАТЫ (в руб.)</t>
  </si>
  <si>
    <t>ФОТ</t>
  </si>
  <si>
    <t>Социальный работник / сотрудник службы сопровождения</t>
  </si>
  <si>
    <t>0,5 ставки</t>
  </si>
  <si>
    <t>Педагог (12 разряд)</t>
  </si>
  <si>
    <t>0,25 ставки</t>
  </si>
  <si>
    <t>Педагог-методист - супервизор службы (по совместительству)</t>
  </si>
  <si>
    <t>Психолог</t>
  </si>
  <si>
    <t>Налоги на ФОТ</t>
  </si>
  <si>
    <t>Обеспечение клубной деятельности</t>
  </si>
  <si>
    <t>по регламенту 300 руб./месяц на одну семью</t>
  </si>
  <si>
    <t>Приобретение расходных материалов</t>
  </si>
  <si>
    <t>канцелярия и пр.</t>
  </si>
  <si>
    <t>Экскурсия</t>
  </si>
  <si>
    <t>экскурсия 30000 руб. 1 раз в год</t>
  </si>
  <si>
    <t>Информационное сопровождение</t>
  </si>
  <si>
    <t>статьи в газетах, телевизионные интервью</t>
  </si>
  <si>
    <t>Амортизационные отчисления</t>
  </si>
  <si>
    <t>ВСЕГО ТЕКУЩИЕ ЗАТРАТЫ (в руб.)</t>
  </si>
  <si>
    <t>СТАРТОВЫЕ ЗАТРАТЫ (в руб.)</t>
  </si>
  <si>
    <t>Косметический ремонт клубной комнаты</t>
  </si>
  <si>
    <r>
      <t>из расчета на 20 чел. (регламент), прим. 30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</si>
  <si>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Косметический ремонт кабинета психолога</t>
  </si>
  <si>
    <r>
      <t>здесь из расчета 9 м</t>
    </r>
    <r>
      <rPr>
        <vertAlign val="superscript"/>
        <sz val="10"/>
        <rFont val="Arial"/>
        <family val="2"/>
      </rPr>
      <t>2</t>
    </r>
  </si>
  <si>
    <t>Обучение специалистов</t>
  </si>
  <si>
    <t>курс повышения квалификации для соц. работника и психолога, супервизорское сопровождение; здесь из расчета 72 часа, т.е. прим. 9 дней</t>
  </si>
  <si>
    <t>Приобретение товаров</t>
  </si>
  <si>
    <t>в регламенте приобретение товаров не предусматривается, но, видимо, они нужны для организации работы клуба опекунов</t>
  </si>
  <si>
    <t>Комплект развивающих игр</t>
  </si>
  <si>
    <t>для детей, пока опекун консультруется со специалистами или общается с другими опекунами в клубе выходного дня</t>
  </si>
  <si>
    <t>Фотоаппарат</t>
  </si>
  <si>
    <t>газеты-фотоотчеты, фотоальбом-летопись о жизни центра</t>
  </si>
  <si>
    <t>Чайник</t>
  </si>
  <si>
    <t>Сервиз</t>
  </si>
  <si>
    <t>ВСЕГО СТАРТОВЫЕ ЗАТРАТЫ (в руб.)</t>
  </si>
  <si>
    <t>Услуга 1.2. Оказание медико-психолого-педагогических услуг отказным детям и детям из неблагополучных семей на базе медицинских учреждений</t>
  </si>
  <si>
    <t>на 1 семью (ребенок+мать) в месяц</t>
  </si>
  <si>
    <t>Воспитатель (педагог, психолог) - 1 ст.</t>
  </si>
  <si>
    <t>Врач-педиатр (0,25 ст.)</t>
  </si>
  <si>
    <t>Мл. медперсонал (няня / санитарка) - 0,25 ст.</t>
  </si>
  <si>
    <t>Содержание ребенка в дестком отделении</t>
  </si>
  <si>
    <t>ср. стоимость пребывания ребенка в детском отделении - 700 руб./день; ср. срок пребвания детей - 44 дня</t>
  </si>
  <si>
    <t>Повышение квалификации для врача-педиатра</t>
  </si>
  <si>
    <t>1 раз в год по 12 часов</t>
  </si>
  <si>
    <t>краски, карандаши, бумаги и т.д.</t>
  </si>
  <si>
    <t>Косметический ремонт помещения (игровой комнаты)</t>
  </si>
  <si>
    <t>из расчета 16 м2.</t>
  </si>
  <si>
    <t>Обучение персонала</t>
  </si>
  <si>
    <t>обучение принципам и правилам организации профилактики ранних отказов для воспитателя и врача педиатра (1 семинар по 18 часов, т.е. прим. 3 дня)</t>
  </si>
  <si>
    <t>Приобретение товаров для оборудования игровой комнаты</t>
  </si>
  <si>
    <t>из регламента</t>
  </si>
  <si>
    <t>за месяц</t>
  </si>
  <si>
    <t>за год</t>
  </si>
  <si>
    <t>ФОТ (дневной режим)</t>
  </si>
  <si>
    <t>Руководитель - 1 чел. (0,5 ст.)</t>
  </si>
  <si>
    <t>Супервизор (методист) - 1 чел. (0,25 ст.)</t>
  </si>
  <si>
    <t>Телефонные консультанты (5 дней в неделю, 2 смены в день) - 2,5 ст.</t>
  </si>
  <si>
    <t>Налоги на ФОТ (дневной режим)</t>
  </si>
  <si>
    <t>ФОТ (круглосуточный режим)</t>
  </si>
  <si>
    <t>Руководитель - 1 чел. (1 ст.)</t>
  </si>
  <si>
    <t>Супервизор (методист) - 1 чел. (0,5 ст.)</t>
  </si>
  <si>
    <t>в регламенте: сельский ТД администрирует и супервизирует один человек, хотя эти две функции должны быть разделены</t>
  </si>
  <si>
    <t>Телефонные консультанты (круглосуточный режим работы, 7 дней) - 7 ставок</t>
  </si>
  <si>
    <t>Налоги на ФОТ (круглосуточный режим)</t>
  </si>
  <si>
    <t>Повышение квалификации консультантов</t>
  </si>
  <si>
    <t>По регламенту: 1 семинар на 2 дня по 16 часов - 1 раз в год. Здесь из расчета: 2 дня для 5 чел. с выездом в Томск</t>
  </si>
  <si>
    <t>Оплата канцелярских принадлежностей</t>
  </si>
  <si>
    <t>Бумага для принтера, ксерокса, расходные материалы для техники (катриджи и т.д.)</t>
  </si>
  <si>
    <t>Батарейки для радиотелефона</t>
  </si>
  <si>
    <t>3$ в месяц</t>
  </si>
  <si>
    <t>Аудиокассеты, дискеты</t>
  </si>
  <si>
    <t>примерно 2$ в месяц</t>
  </si>
  <si>
    <t>Затраты на регулярную рекламу</t>
  </si>
  <si>
    <t>Регулярность рекламных акций: 2 раза в год плановые и текущие по мере необходимости</t>
  </si>
  <si>
    <t>в местных СМИ</t>
  </si>
  <si>
    <t>статьи в газетах, интервью по телевизору</t>
  </si>
  <si>
    <t>рекламные объявления в общественных местах</t>
  </si>
  <si>
    <t>печать листовок</t>
  </si>
  <si>
    <t>индивидуальная доставка рекламы жителям (через школы, детские сады и т.д.)</t>
  </si>
  <si>
    <t>Оплата услуг связи</t>
  </si>
  <si>
    <t>взят тариф безлимитный (380 руб./месяц), установленный с 2007 года</t>
  </si>
  <si>
    <t>рассчитаны по максимальному варианту капитальных затрат</t>
  </si>
  <si>
    <t>Косметический ремонт помещения</t>
  </si>
  <si>
    <r>
      <t>из расчета 12 м</t>
    </r>
    <r>
      <rPr>
        <vertAlign val="superscript"/>
        <sz val="10"/>
        <rFont val="Arial"/>
        <family val="2"/>
      </rPr>
      <t>2</t>
    </r>
  </si>
  <si>
    <t>Первичное обучение и подготовка консультантов</t>
  </si>
  <si>
    <t>из расчета 6 дней (по регламенту), 5 чел. с выездом в Томск</t>
  </si>
  <si>
    <t>Установка выделенной телефонной линии</t>
  </si>
  <si>
    <t>комплект офисной мебели</t>
  </si>
  <si>
    <t>телефонный аппарат стационарный</t>
  </si>
  <si>
    <t>желательно стационарный,с автоответчиком, регулировкой громкости позвонившего</t>
  </si>
  <si>
    <t>радиотелефон</t>
  </si>
  <si>
    <t>электрочайник</t>
  </si>
  <si>
    <t>комплект методических материалов</t>
  </si>
  <si>
    <t>цифра может меняться в зависимости от необходимого объема материалов</t>
  </si>
  <si>
    <t>информационные материалы (литература)</t>
  </si>
  <si>
    <t>Возможные дополнения</t>
  </si>
  <si>
    <t>полка для книг, информационный пробковый стенд</t>
  </si>
  <si>
    <t>комплект орг. техники (компьютер, принтер, ксерокс)</t>
  </si>
  <si>
    <t>они могут быть в доступе для руководителя ТД, но принадлежать другой сотрудничающей организации</t>
  </si>
  <si>
    <t>цифровой диктофон</t>
  </si>
  <si>
    <t>Услуга 1.3. Сельский волонтерский телефон доверия (1 служба на 15-20 тыс. телефонизированного населения)</t>
  </si>
  <si>
    <t>ВСЕГО ТЕКУЩИЕ ЗАТРАТЫ (в руб.) - круглосуточный режим</t>
  </si>
  <si>
    <t>ВСЕГО ТЕКУЩИЕ ЗАТРАТЫ (в руб.) - дневной режим</t>
  </si>
  <si>
    <t>ВСЕГО СТАРТОВЫЕ ЗАТРАТЫ (в руб.) - вариант максимум</t>
  </si>
  <si>
    <t>на 1 ребенка</t>
  </si>
  <si>
    <t>Руководитель (0,5 ст.)</t>
  </si>
  <si>
    <t>совмещение обязанностей с должностью психолога / дефектолога-логопеда / педиатра</t>
  </si>
  <si>
    <t>Воспитатель (1 ст.)</t>
  </si>
  <si>
    <t>Дефектолог-логопед (0,5 ст.)</t>
  </si>
  <si>
    <t>Социальный работник (участковый) - 0,5 ст.</t>
  </si>
  <si>
    <t>Психолог (0,5 ст.)</t>
  </si>
  <si>
    <t>Материальные затраты</t>
  </si>
  <si>
    <t>Расходы ГСМ</t>
  </si>
  <si>
    <t>для выезда сотрудников</t>
  </si>
  <si>
    <t>Регулярное информирование населения о функционировании услуги</t>
  </si>
  <si>
    <t>публикации в газете, выступления по радио, репортажи по TV, цифры условные</t>
  </si>
  <si>
    <t>Информирование населения о создании услуги</t>
  </si>
  <si>
    <t>Подготовка специалистов</t>
  </si>
  <si>
    <t>Повышение квалификации 3- специалистов (руководитель, воспитатель, психолог)</t>
  </si>
  <si>
    <t>72 часа с выездом в город, т.е. прим. 9 дней</t>
  </si>
  <si>
    <t>Программа для участковых специалистов</t>
  </si>
  <si>
    <t>18 часов (3 дня), без выезда</t>
  </si>
  <si>
    <t>Ремонт комнаты специалистов</t>
  </si>
  <si>
    <t>из расчета 9 м2.</t>
  </si>
  <si>
    <t>Приобретение офисной мебели</t>
  </si>
  <si>
    <t>в регламенте есть расшифровка</t>
  </si>
  <si>
    <t>Ремонт игровой комнаты</t>
  </si>
  <si>
    <r>
      <t>из расчета 3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на чел, т.е. прим. 15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</si>
  <si>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Ремонт комнаты развивающих занятий</t>
  </si>
  <si>
    <r>
      <t>из расчета 2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на чел, т.е. прим. 10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</si>
  <si>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Приобретение оборудования для комнаты развивающих занятий</t>
  </si>
  <si>
    <t>Приобретение товаров для кухни-столовой</t>
  </si>
  <si>
    <t>При необходимости, т.к. может уже существовать в учреждении, на базе которого организуется служба</t>
  </si>
  <si>
    <t>Ремонт комнаты логопеда/психолога</t>
  </si>
  <si>
    <r>
      <t>из расчета 9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</si>
  <si>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Приобретение логопедического оборудования</t>
  </si>
  <si>
    <t>Услуга 1.4. Реабилитационные услуги для семьи с ребенком-инвалидом на селе</t>
  </si>
  <si>
    <t>Основная услуга (минимальное наполнение) рассчитана на детей-инвалидов и их семьи, проживающих в территориальной близости (районном центре) от места оказания услуги</t>
  </si>
  <si>
    <t>Руководитель (+0,5 ст.)</t>
  </si>
  <si>
    <t>По сравнению с основной услугой, персоналу прибавлены ставки (в скобках)</t>
  </si>
  <si>
    <t>Дефектолог-логопед (+0,25 ст.)</t>
  </si>
  <si>
    <t>Воспитатель</t>
  </si>
  <si>
    <t>Психолог (+0,25 ст.)</t>
  </si>
  <si>
    <t>Медицинский работник (0,5 ст.)</t>
  </si>
  <si>
    <t>Социальный работник (участковый)</t>
  </si>
  <si>
    <t>Технический сотрудник (уборщица) - 0,5 ст.</t>
  </si>
  <si>
    <t>Материальные затраты по основной услуге</t>
  </si>
  <si>
    <t>Курс реабилитации</t>
  </si>
  <si>
    <t>2 раза в год 21 (30) дневный курс реабилитации</t>
  </si>
  <si>
    <t>доставка детей (ГСМ)</t>
  </si>
  <si>
    <t>расходы на транспортировку детей: взяты из расчета 100 л/месяц</t>
  </si>
  <si>
    <t>питание</t>
  </si>
  <si>
    <t>нормативы по питанию (3000 в месяц на ребенка) из другой услуги</t>
  </si>
  <si>
    <t>канцелярские принадлежности</t>
  </si>
  <si>
    <t>дополнительно к 4000 руб. по основной услуге</t>
  </si>
  <si>
    <t>Стартовые расходы по основной услуге</t>
  </si>
  <si>
    <t>Установка телефонной точки</t>
  </si>
  <si>
    <t>Косметический ремонт медицинской комнаты</t>
  </si>
  <si>
    <r>
      <t>из расчета 9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</si>
  <si>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Приобретение оборудования для медицинского кабинета</t>
  </si>
  <si>
    <t>Косметический ремонт столовой</t>
  </si>
  <si>
    <r>
      <t>из расчета 15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</si>
  <si>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Приобретение офисного оборудования</t>
  </si>
  <si>
    <t>Приобретение оборудования для логопедического кабинета</t>
  </si>
  <si>
    <t>Это расчет услуги 1.4 в ее максимальном исполнении (организуется при возможости). К основной услуге добавляется дополнительная часть, которая предполагает работу с детьми, проживающими в селах района (не районном центре).</t>
  </si>
  <si>
    <t>Руководитель (педагог-психолог) - 0,5 ст.</t>
  </si>
  <si>
    <t>Педагог (0,75 ст.)</t>
  </si>
  <si>
    <t>2-3 чел. по 0,25 ст.</t>
  </si>
  <si>
    <t>Специальный психолог (1,5 часа в неделю на 1 семью)</t>
  </si>
  <si>
    <t>Привлеченные специалисты (по возможности), оплата почасовая</t>
  </si>
  <si>
    <t>Дефектолог-логопед (1,5 часа в неделю на 1 семью)</t>
  </si>
  <si>
    <t>500 руб./встреча, 2 раза в месяц</t>
  </si>
  <si>
    <t>Расходные материалы</t>
  </si>
  <si>
    <t>Регулярные сюжеты о функционировании услуги</t>
  </si>
  <si>
    <t>на радио, в местной прессе</t>
  </si>
  <si>
    <t>Подготовка и переподготовка кадров</t>
  </si>
  <si>
    <t>Руководитель, педагоги, психолог (прим. 5 человек) проходят первичное повышение квалификации (72 часа, т.е. прим. 9 дней), и при необходимости обучают остальной персонал</t>
  </si>
  <si>
    <t>Оборудование клубной комнаты</t>
  </si>
  <si>
    <t>20 стульев (если их нет в учреждении, на базе которого организуется услуга)</t>
  </si>
  <si>
    <t>Оборудование комнаты развивающих занятий</t>
  </si>
  <si>
    <t>Услуга 1.5. Коррекция и социализация ребенка-инвалида на селе (15 детей-инвалидов в группе)</t>
  </si>
  <si>
    <t>Статья расходов</t>
  </si>
  <si>
    <t>на 1 ребенка (из расчета 10 детей)</t>
  </si>
  <si>
    <t>Руководитель (1 ст.)</t>
  </si>
  <si>
    <t>Психолог (1 ст.)</t>
  </si>
  <si>
    <t>Педагог</t>
  </si>
  <si>
    <t>Совместители (привлеченные специалисты)</t>
  </si>
  <si>
    <t>Социальный работник</t>
  </si>
  <si>
    <t>Регулярное информирование об услуге</t>
  </si>
  <si>
    <t>на радио, в местной прессе; здесь цифра условная</t>
  </si>
  <si>
    <t>по регламенту: 500 руб. на семью в месяц</t>
  </si>
  <si>
    <t>Оплата расходных материалов, необходимых для реабилитационного досуга</t>
  </si>
  <si>
    <t>спортивные занятия</t>
  </si>
  <si>
    <t>активный досуг</t>
  </si>
  <si>
    <t>клубный досуг</t>
  </si>
  <si>
    <t>кружки ручного труда</t>
  </si>
  <si>
    <t>школы искусств, театральные студии</t>
  </si>
  <si>
    <t>художественные школы</t>
  </si>
  <si>
    <t>музыкальные школы</t>
  </si>
  <si>
    <t>расчет по максимальному варианту</t>
  </si>
  <si>
    <t>Информирование о создании услуги</t>
  </si>
  <si>
    <t>Первичная подготовка специалистов</t>
  </si>
  <si>
    <t>для 3-х чел. 72 часа (9 дней)</t>
  </si>
  <si>
    <t>Косметический ремонт помещения для клубной работы</t>
  </si>
  <si>
    <r>
      <t>из расчета 18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</si>
  <si>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Косметический ремонт помещения для индивидуальных консультаций и работы с документами</t>
  </si>
  <si>
    <t>Косметический ремонт кухни</t>
  </si>
  <si>
    <t>Приобретение оборудования для комнаты развивающих занятий (минимум)</t>
  </si>
  <si>
    <t>Приобретение оборудования для комнаты развивающих занятий (максимум)</t>
  </si>
  <si>
    <t>дополнительно: телевизор, магнитофон, видеоплеер</t>
  </si>
  <si>
    <t>Приобретение оборудования для кухни-столовой</t>
  </si>
  <si>
    <t>Приобретение офисного оборудования (минимум)</t>
  </si>
  <si>
    <t>оборудование рабочего места специалистов</t>
  </si>
  <si>
    <t>Приобретение офисного оборудования (максимум)</t>
  </si>
  <si>
    <t>дополнительно: набор орг. техники (компьютер, принтер, телефон) +30000</t>
  </si>
  <si>
    <t>Ксерокс (по возможности)</t>
  </si>
  <si>
    <t>форма, инвентарь (разовые затраты на 1 ребенка при приходе в услугу)</t>
  </si>
  <si>
    <t>турсекции и т.д. (разовые затраты на 1 ребенка при приходе в услугу)</t>
  </si>
  <si>
    <t>ВСЕГО ТЕКУЩИЕ ЗАТРАТЫ (в руб.) - за исключением разовых при приеме ребенка в услугу</t>
  </si>
  <si>
    <t>Вариант услуги 1.6. Служба поддержки семьи, находяйщейся в кризисной ситуации</t>
  </si>
  <si>
    <t>Сбор информации о семьях группы риска</t>
  </si>
  <si>
    <t>Этап 1. Равен стоимости услуги 1.3</t>
  </si>
  <si>
    <t>Работа специалистов с семьями (детьми и родителями)</t>
  </si>
  <si>
    <t>этапы 2-3, 9</t>
  </si>
  <si>
    <t>Социальный педагог</t>
  </si>
  <si>
    <t>этапы 4-5, 6, 8</t>
  </si>
  <si>
    <t>Медик</t>
  </si>
  <si>
    <t>Сопровождение семьи / реабилитация ребенка</t>
  </si>
  <si>
    <t>Этап 7. Может быть посчитан по услугам 1.1, 1.6, 2.1, 2.2. Здесь взяты текущие затраты по услуге 2.1</t>
  </si>
  <si>
    <t>Подготовка и переподготовка специалистов</t>
  </si>
  <si>
    <t>Информирование населения о создании и функционировании услуги</t>
  </si>
  <si>
    <t>Вариант услуги 1.7. Сопровождение кровной семьи группы риска по социальному сиротству</t>
  </si>
  <si>
    <t>цифры условные; суммы рассчитаны исходя из цифры 6266 руб. за ставку</t>
  </si>
  <si>
    <t>Психолог (0,25 ст.)</t>
  </si>
  <si>
    <t>Педагоги ДО (0,25 ст. на каждый вид деятельности)</t>
  </si>
  <si>
    <t>обычно 2-3 кружка, т.е. примерно 0,75 ст.</t>
  </si>
  <si>
    <t>Материальные затраты на досуговую деятельность</t>
  </si>
  <si>
    <t>Первичное повышение квалификации районных специалистов</t>
  </si>
  <si>
    <t xml:space="preserve">из расчета: 3 чел. на 3 дня с выездом в Томск </t>
  </si>
  <si>
    <t>для спортивных занятий</t>
  </si>
  <si>
    <t>в регламенте: разовые затраты 3000 руб. на 1 ребенка</t>
  </si>
  <si>
    <t>для активного досуга</t>
  </si>
  <si>
    <t>в регламенте: разовые затраты 5000 руб. на 1 ребенка</t>
  </si>
  <si>
    <t>для музыкальной школы</t>
  </si>
  <si>
    <t>Услуга 2.1. Организация реабилитационного досуга в социальном пространстве</t>
  </si>
  <si>
    <t>1 группа - 15-20 человек, из них 30 - 35% детей из целевой группы (прим. 6 человек)</t>
  </si>
  <si>
    <t xml:space="preserve">на 1 ребенка (из расчета на 8 детей) </t>
  </si>
  <si>
    <t xml:space="preserve">ФОТ </t>
  </si>
  <si>
    <t>тьютор 1 ст.</t>
  </si>
  <si>
    <t>педагоги-предметники 0,5 ст.</t>
  </si>
  <si>
    <t>психолог 0,25 ст.</t>
  </si>
  <si>
    <t>педагоги ДО 1 ст.</t>
  </si>
  <si>
    <t>руководитель ОЦ 1 ст.</t>
  </si>
  <si>
    <t>на три группы</t>
  </si>
  <si>
    <t>Оплата услуг</t>
  </si>
  <si>
    <t>оплата транспортных услуг (экскурсии)</t>
  </si>
  <si>
    <t>здесь учитываются только транспортные расходы (без ГСМ), цифра условная</t>
  </si>
  <si>
    <t>продукты питания</t>
  </si>
  <si>
    <t>из регламента: 3000 руб. на ребенка в месяц</t>
  </si>
  <si>
    <t>ГСМ (экскурсии) в среднем 50-60 л. в месяц</t>
  </si>
  <si>
    <t>16,79 за литр АИ-92 "Цены России"</t>
  </si>
  <si>
    <t>цены взяты из гранта</t>
  </si>
  <si>
    <t>расходные материалы в зависимости от организованных видов деятельности</t>
  </si>
  <si>
    <t>нитки, вязанье, гвозди; цифра условная</t>
  </si>
  <si>
    <t>Праздники (дни именника)</t>
  </si>
  <si>
    <t>на дни именника по 200 руб на каждого + 200*4 общенародных праздника</t>
  </si>
  <si>
    <t>Информационное обеспечение услуги</t>
  </si>
  <si>
    <t>осуществляется в процессе реализации услуги</t>
  </si>
  <si>
    <r>
      <t>выполнение малярных работ, 10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813,84 руб. Источник: "Цены России 2006".Здесь из расчета 30 м2.</t>
    </r>
  </si>
  <si>
    <t>Первичное повышение квалификации специалистов</t>
  </si>
  <si>
    <t>здесь из расчета: 5 чел. на 5 дней с выездом в Томск</t>
  </si>
  <si>
    <t>Рекламная кампания</t>
  </si>
  <si>
    <t>Приобретение товаров – всего</t>
  </si>
  <si>
    <t>компьютер (1 на 7-8 детей)</t>
  </si>
  <si>
    <t>принтер струйный</t>
  </si>
  <si>
    <t>музыкальный центр</t>
  </si>
  <si>
    <t>Источник: "Цены России 2006"</t>
  </si>
  <si>
    <t>аудиокассеты, CD, учебные компьютерные программы</t>
  </si>
  <si>
    <t>Услуга 2.2. Работа с детьми группы риска по социальному сиротству в образовательном пространстве.</t>
  </si>
  <si>
    <t>1 группа - 15-18 детей, в т.ч. 8 - неблагополучных</t>
  </si>
  <si>
    <t>на 1 ребенка (из расчета 25 детей)</t>
  </si>
  <si>
    <t>Постоянные специалисты</t>
  </si>
  <si>
    <t>Педагог-организатор (социальный педагог) - 1 ст.</t>
  </si>
  <si>
    <t>Привлеченные специалисты</t>
  </si>
  <si>
    <t>Замещающие воспитатели (7,5 ст.)</t>
  </si>
  <si>
    <t>По ОЗ № 89 оплата труда патронатных воспитателей должна быть не ниже 12 разряда ЕТС</t>
  </si>
  <si>
    <t>Водитель</t>
  </si>
  <si>
    <t>Юрист (3 часа в квартал)</t>
  </si>
  <si>
    <t>Дополнительные специалисты</t>
  </si>
  <si>
    <t>могут входить в службу, если в учреждении есть дети с проблемами в развитии</t>
  </si>
  <si>
    <t>Логопед</t>
  </si>
  <si>
    <t>Дефектолог</t>
  </si>
  <si>
    <t>по опыту Зырянского ДД столько уходит на оплату мобильной связи</t>
  </si>
  <si>
    <t>Затраты на ГСМ</t>
  </si>
  <si>
    <t>из расчета 250 л/мес; надо отвозить з/пл и продукты патронатным семьям</t>
  </si>
  <si>
    <t>Обучение команды Службы сопровождения</t>
  </si>
  <si>
    <t>Услуга 3.1. Служба сопровождения замещающей семьи</t>
  </si>
  <si>
    <t>По всем районам</t>
  </si>
  <si>
    <t>на 1 учреждение в год</t>
  </si>
  <si>
    <t>Добрый день, Елена Игоревна!</t>
  </si>
  <si>
    <t>Сведения по ТД.</t>
  </si>
  <si>
    <t>Данные на сентябрь 2006 года.</t>
  </si>
  <si>
    <t>Районы, в которых телефоны доверия работают:</t>
  </si>
  <si>
    <t>- г.Томск;</t>
  </si>
  <si>
    <t>- Колпашево;</t>
  </si>
  <si>
    <t>- Кривошеино;</t>
  </si>
  <si>
    <t>- Парабель;</t>
  </si>
  <si>
    <t>- Чаинский;</t>
  </si>
  <si>
    <t>- Шегарский;</t>
  </si>
  <si>
    <t>- Северск;</t>
  </si>
  <si>
    <t>- Каргасок;</t>
  </si>
  <si>
    <t>- Кожевниково;</t>
  </si>
  <si>
    <t>- Верхнекетский;</t>
  </si>
  <si>
    <t>- Стрежевой;</t>
  </si>
  <si>
    <t>- Александровское.</t>
  </si>
  <si>
    <t>Районы, в которых есть обученные консультанты и возможности открыть ТД:</t>
  </si>
  <si>
    <t>- Молчаново;</t>
  </si>
  <si>
    <t>- Бакчар (открыли подростковый);</t>
  </si>
  <si>
    <t>- Асино;</t>
  </si>
  <si>
    <t>- Зырянский.</t>
  </si>
  <si>
    <t>В других районах области не велась работа по выявлению потребности и возможности открытия ТД</t>
  </si>
  <si>
    <t>Александровский</t>
  </si>
  <si>
    <t>Асиновский</t>
  </si>
  <si>
    <t>Бакчарский</t>
  </si>
  <si>
    <t>Верхнекетский</t>
  </si>
  <si>
    <t>Зырянский</t>
  </si>
  <si>
    <t>Каргасокский</t>
  </si>
  <si>
    <t>Кожевниковский</t>
  </si>
  <si>
    <t>Колпашевский</t>
  </si>
  <si>
    <t>Кривошеинский</t>
  </si>
  <si>
    <t>Молчановский</t>
  </si>
  <si>
    <t>Парабельский</t>
  </si>
  <si>
    <t>Первомайский</t>
  </si>
  <si>
    <t>Тегульдетский</t>
  </si>
  <si>
    <t>Томский</t>
  </si>
  <si>
    <t>Чаинский</t>
  </si>
  <si>
    <t>Шегарский</t>
  </si>
  <si>
    <t>г. Томск</t>
  </si>
  <si>
    <t>г. Кедровый</t>
  </si>
  <si>
    <t>г. Стрежевой</t>
  </si>
  <si>
    <t>г. Северск</t>
  </si>
  <si>
    <t>может быть создан в бл. время</t>
  </si>
  <si>
    <t>есть тел. дов.</t>
  </si>
  <si>
    <t>нет т.д.</t>
  </si>
  <si>
    <t>*</t>
  </si>
  <si>
    <t>в среднем по т 6 видам досуговой деятельности</t>
  </si>
  <si>
    <t>из расчета 50 детей  (25 семей) на район</t>
  </si>
  <si>
    <t>ребенок не может ходить во все секции сразу; конкретная сумма на ребенка будет зависеть от выбранных им видов кружковой деятельности; стоимость расходных материалов взята средняя по 4 видам досуговой деятельности</t>
  </si>
  <si>
    <t>без сбора информации, т.к. ТД уже учтен</t>
  </si>
  <si>
    <t>было 15000 в мес</t>
  </si>
  <si>
    <t>на 1 ребенка / семью (из расчета на гр. 20-25 чел.)</t>
  </si>
  <si>
    <t>Затраты на перепрофилирование, по моим записям, складываются из:</t>
  </si>
  <si>
    <t>- подготовка персонала (120 часов) - 120 тыс. руб.;</t>
  </si>
  <si>
    <t>- подготовка патронатных семей (40 часов) - 30 тыс. руб.;</t>
  </si>
  <si>
    <t>- создание реабилитационной материальной базы - 250 тыс. руб.;</t>
  </si>
  <si>
    <t>- сверх всего 25% - косвенные затраты.</t>
  </si>
  <si>
    <t>Так получаются 500 тыс. руб. по экспертной оценке директора Зырянского дд.</t>
  </si>
  <si>
    <t>по данным Зырянского детсткого дома</t>
  </si>
  <si>
    <t>Создание реабилитационной материальной базы</t>
  </si>
  <si>
    <t>Косвенные затраты</t>
  </si>
  <si>
    <t>Подготовка патронатных семей</t>
  </si>
  <si>
    <t>Стартовые:</t>
  </si>
  <si>
    <t>Ремонт помещения</t>
  </si>
  <si>
    <t>Приобретение мебели для кухни и жилой комнаты</t>
  </si>
  <si>
    <t>18 кв. м</t>
  </si>
  <si>
    <t>1.1 Сопровождение опекунскимх семей</t>
  </si>
  <si>
    <t>на 1 район</t>
  </si>
  <si>
    <t>1.2 Отказные дети</t>
  </si>
  <si>
    <t>1.3 Телефон доверия</t>
  </si>
  <si>
    <t>1.4 Сопр. инвалидов на селе</t>
  </si>
  <si>
    <t>1.5 Коррекция и социализация инвалидов</t>
  </si>
  <si>
    <t>1.7 Сопровождение семьи группы риска</t>
  </si>
  <si>
    <t>3.1 Сопровождение замещ. семьи</t>
  </si>
  <si>
    <t>1.6 Поддержка семьи в кризисной ситуации</t>
  </si>
  <si>
    <t>на область</t>
  </si>
  <si>
    <t>прим.</t>
  </si>
  <si>
    <t>на 22 ЦРБ</t>
  </si>
  <si>
    <t>на 8 районов</t>
  </si>
  <si>
    <t>на 40 учреждений (23 ДСЮШ и 16 Домов детского творчества)</t>
  </si>
  <si>
    <t>на 40 школ с числ. учащихся свыше 500 чел.</t>
  </si>
  <si>
    <t>на 20 интернатных учреждений</t>
  </si>
  <si>
    <t>на 33 ПТУ</t>
  </si>
  <si>
    <t>2.1 Реабилитациия детей гр. риска в досуговом пр-ве</t>
  </si>
  <si>
    <t>2.1 Реабилитациия детей гр. риска в образовательном пр-ве</t>
  </si>
  <si>
    <t>4.1 Реабил. выпускников интернатных учреждений</t>
  </si>
  <si>
    <t>Реабилитация семей группы риска</t>
  </si>
  <si>
    <t>Начальные затраты на 1 район, учреждение</t>
  </si>
  <si>
    <t>Начальные затраты, всего – на всю область</t>
  </si>
  <si>
    <t>примеч.</t>
  </si>
  <si>
    <t>текущие затраты, в год</t>
  </si>
  <si>
    <t>Сопровождение опекунских семей</t>
  </si>
  <si>
    <t>на семью в год; примерно половина опекунских семей нуждаемся в сопровождении</t>
  </si>
  <si>
    <t xml:space="preserve"> на 22 ЦРБ и др. ЛПУ</t>
  </si>
  <si>
    <t xml:space="preserve">на область из расчета 20 детей в год на учреждение; без учета северных надбавок </t>
  </si>
  <si>
    <t xml:space="preserve"> на 8 районов, где нет ТД</t>
  </si>
  <si>
    <t>на доп. 8 районов, дневной ДТ</t>
  </si>
  <si>
    <t>Служба поддержки семьи, находящейся в кризисной ситуации</t>
  </si>
  <si>
    <t>по области из расчета 50 семей на район  (поздняя стадия кризиса)</t>
  </si>
  <si>
    <t>Сопровождение кровных семей группы риска по социальному сиротству</t>
  </si>
  <si>
    <t>стартовые расходы такие же, как то услуге 1.7</t>
  </si>
  <si>
    <t>по области из расчета 50 детей/семей на район</t>
  </si>
  <si>
    <t xml:space="preserve">Сопровождение ребенка группы риска в социальном и образовательном пространстве </t>
  </si>
  <si>
    <t xml:space="preserve">Сопровождение ребенка группы риска в образовательном пространстве </t>
  </si>
  <si>
    <t>Всего по услугам профилактики социального сиротства</t>
  </si>
  <si>
    <t>Замещающая семья</t>
  </si>
  <si>
    <t>Служба сопровождения патронатной семьи</t>
  </si>
  <si>
    <t xml:space="preserve">по области </t>
  </si>
  <si>
    <t>Социальная адаптация детей-сирот</t>
  </si>
  <si>
    <t xml:space="preserve"> по области</t>
  </si>
  <si>
    <t>Всего</t>
  </si>
  <si>
    <t>1 ставка педагога-воспитателя (прибьавка)</t>
  </si>
  <si>
    <t>1 ставка руководителя</t>
  </si>
  <si>
    <t>60 кв. м</t>
  </si>
  <si>
    <t>всего 22 учреждение</t>
  </si>
  <si>
    <t>из расчета 1500-опекунов нужд. в сопровождении</t>
  </si>
  <si>
    <t xml:space="preserve">Статья расходов </t>
  </si>
  <si>
    <t>(тыс. руб.)</t>
  </si>
  <si>
    <t>2011 и далее</t>
  </si>
  <si>
    <t>Функционирование департамента</t>
  </si>
  <si>
    <t>Функционирование муниципальных отделов</t>
  </si>
  <si>
    <t>Переподготовка специалистов</t>
  </si>
  <si>
    <t>Проведение рекламной кампании</t>
  </si>
  <si>
    <t>ВСЕГО</t>
  </si>
  <si>
    <t>Постоянные издержки на реформу</t>
  </si>
  <si>
    <t>Переменные издержки на реформу</t>
  </si>
  <si>
    <t>Стартовые условия для оказания новых услуг, включая перепрофилирование</t>
  </si>
  <si>
    <t>Год</t>
  </si>
  <si>
    <t>Постоянные расходы</t>
  </si>
  <si>
    <t>Переменные расходы</t>
  </si>
  <si>
    <t>на 40 учреждений ДО (23 ДСЮШ и 16 ДДТ)</t>
  </si>
  <si>
    <t>1.1</t>
  </si>
  <si>
    <t>1.2</t>
  </si>
  <si>
    <t>1.3</t>
  </si>
  <si>
    <t>1.6</t>
  </si>
  <si>
    <t>1.7</t>
  </si>
  <si>
    <t>2.1</t>
  </si>
  <si>
    <t>2.2</t>
  </si>
  <si>
    <t>3.1</t>
  </si>
  <si>
    <t>4.1</t>
  </si>
  <si>
    <t>по осн. учреждениямДО</t>
  </si>
  <si>
    <t>Оказание медико-психо-лого-педагогических услуг отказным детям и детям из неблагополучных семей</t>
  </si>
  <si>
    <t xml:space="preserve">Служба экстренной психологической помощи для семьи и ребенка группы риска </t>
  </si>
  <si>
    <t>Реабилитационный досуг детей группы риска в социальном пространстве</t>
  </si>
  <si>
    <t>на 23 района</t>
  </si>
  <si>
    <t xml:space="preserve">на 23 района </t>
  </si>
  <si>
    <t>на 70 школ</t>
  </si>
  <si>
    <t>в месяц - на 1 центр сопровождения</t>
  </si>
  <si>
    <t>23 551</t>
  </si>
  <si>
    <t>Создание стартовых условий для оказания инновационных услуг</t>
  </si>
  <si>
    <t>60$ в месяц (из материалов Национального фонда)</t>
  </si>
  <si>
    <t>Статья расходов (тыс. руб.)</t>
  </si>
  <si>
    <t>2012 и далее</t>
  </si>
  <si>
    <t>Служба супервизиров</t>
  </si>
  <si>
    <t>Создание стартовых условий для оказания инновационных услуг, 36 млн. руб. за 4 года</t>
  </si>
  <si>
    <t>Доп. расходы на переподготовку специалистов</t>
  </si>
  <si>
    <t>Служба супервизоров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</si>
</sst>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2" fillId="0" borderId="1" xfId="21" applyFont="1" applyBorder="1" applyAlignment="1">
      <alignment horizontal="left" wrapText="1"/>
      <protection/>
    </xf>
    <xf numFmtId="1" fontId="2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5" xfId="0" applyBorder="1" applyAlignment="1">
      <alignment vertical="center" wrapText="1"/>
    </xf>
    <xf numFmtId="1" fontId="2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1" fontId="2" fillId="2" borderId="1" xfId="0" applyNumberFormat="1" applyFont="1" applyFill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3" xfId="0" applyBorder="1" applyAlignment="1">
      <alignment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21" applyFont="1" applyBorder="1" applyAlignment="1">
      <alignment horizontal="left" wrapText="1"/>
      <protection/>
    </xf>
    <xf numFmtId="0" fontId="2" fillId="0" borderId="1" xfId="21" applyFont="1" applyFill="1" applyBorder="1" applyAlignment="1">
      <alignment horizontal="left" wrapText="1"/>
      <protection/>
    </xf>
    <xf numFmtId="0" fontId="3" fillId="0" borderId="1" xfId="21" applyFont="1" applyFill="1" applyBorder="1" applyAlignment="1">
      <alignment horizontal="left" wrapText="1"/>
      <protection/>
    </xf>
    <xf numFmtId="1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/>
    </xf>
    <xf numFmtId="0" fontId="2" fillId="2" borderId="1" xfId="21" applyFont="1" applyFill="1" applyBorder="1" applyAlignment="1">
      <alignment horizontal="left"/>
      <protection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/>
    </xf>
    <xf numFmtId="1" fontId="0" fillId="0" borderId="0" xfId="0" applyNumberFormat="1" applyAlignment="1">
      <alignment wrapText="1"/>
    </xf>
    <xf numFmtId="1" fontId="2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4" xfId="0" applyBorder="1" applyAlignment="1">
      <alignment horizont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" fontId="0" fillId="0" borderId="0" xfId="0" applyNumberFormat="1" applyAlignment="1">
      <alignment/>
    </xf>
    <xf numFmtId="0" fontId="9" fillId="0" borderId="0" xfId="0" applyFont="1" applyAlignment="1">
      <alignment horizontal="justify"/>
    </xf>
    <xf numFmtId="0" fontId="7" fillId="0" borderId="0" xfId="20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vertical="top" wrapText="1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vertical="top" wrapText="1"/>
    </xf>
    <xf numFmtId="0" fontId="12" fillId="3" borderId="7" xfId="0" applyFont="1" applyFill="1" applyBorder="1" applyAlignment="1">
      <alignment wrapText="1"/>
    </xf>
    <xf numFmtId="0" fontId="12" fillId="3" borderId="7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12" fillId="3" borderId="7" xfId="0" applyNumberFormat="1" applyFont="1" applyFill="1" applyBorder="1" applyAlignment="1">
      <alignment vertical="top" wrapText="1"/>
    </xf>
    <xf numFmtId="0" fontId="11" fillId="3" borderId="7" xfId="0" applyFont="1" applyFill="1" applyBorder="1" applyAlignment="1">
      <alignment/>
    </xf>
    <xf numFmtId="0" fontId="1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vertical="top" wrapText="1"/>
    </xf>
    <xf numFmtId="3" fontId="12" fillId="0" borderId="7" xfId="0" applyNumberFormat="1" applyFont="1" applyBorder="1" applyAlignment="1">
      <alignment vertical="top" wrapText="1"/>
    </xf>
    <xf numFmtId="0" fontId="7" fillId="0" borderId="7" xfId="20" applyBorder="1" applyAlignment="1">
      <alignment/>
    </xf>
    <xf numFmtId="3" fontId="12" fillId="0" borderId="7" xfId="0" applyNumberFormat="1" applyFont="1" applyBorder="1" applyAlignment="1">
      <alignment wrapText="1"/>
    </xf>
    <xf numFmtId="4" fontId="0" fillId="0" borderId="0" xfId="0" applyNumberFormat="1" applyAlignment="1">
      <alignment/>
    </xf>
    <xf numFmtId="3" fontId="12" fillId="0" borderId="7" xfId="0" applyNumberFormat="1" applyFont="1" applyBorder="1" applyAlignment="1">
      <alignment horizontal="right" vertical="top" wrapText="1"/>
    </xf>
    <xf numFmtId="3" fontId="11" fillId="3" borderId="8" xfId="0" applyNumberFormat="1" applyFont="1" applyFill="1" applyBorder="1" applyAlignment="1">
      <alignment horizontal="right" vertical="top" wrapText="1"/>
    </xf>
    <xf numFmtId="3" fontId="11" fillId="3" borderId="9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3" fontId="10" fillId="0" borderId="7" xfId="0" applyNumberFormat="1" applyFont="1" applyBorder="1" applyAlignment="1">
      <alignment wrapText="1"/>
    </xf>
    <xf numFmtId="3" fontId="10" fillId="0" borderId="6" xfId="0" applyNumberFormat="1" applyFont="1" applyBorder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horizontal="center" wrapText="1"/>
    </xf>
    <xf numFmtId="49" fontId="1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1" fillId="0" borderId="10" xfId="0" applyNumberFormat="1" applyFont="1" applyBorder="1" applyAlignment="1">
      <alignment/>
    </xf>
    <xf numFmtId="49" fontId="12" fillId="3" borderId="11" xfId="0" applyNumberFormat="1" applyFont="1" applyFill="1" applyBorder="1" applyAlignment="1">
      <alignment/>
    </xf>
    <xf numFmtId="49" fontId="11" fillId="3" borderId="11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/>
    </xf>
    <xf numFmtId="49" fontId="7" fillId="0" borderId="0" xfId="20" applyNumberFormat="1" applyAlignment="1">
      <alignment/>
    </xf>
    <xf numFmtId="0" fontId="12" fillId="0" borderId="7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2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6" xfId="0" applyFont="1" applyBorder="1" applyAlignment="1">
      <alignment horizontal="right" wrapText="1"/>
    </xf>
    <xf numFmtId="0" fontId="10" fillId="0" borderId="11" xfId="0" applyFont="1" applyBorder="1" applyAlignment="1">
      <alignment wrapText="1"/>
    </xf>
    <xf numFmtId="0" fontId="10" fillId="0" borderId="7" xfId="0" applyFont="1" applyBorder="1" applyAlignment="1">
      <alignment horizontal="right" wrapText="1"/>
    </xf>
    <xf numFmtId="3" fontId="1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vangoro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875"/>
          <c:w val="0.979"/>
          <c:h val="0.97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Sheet3!$C$18:$J$18</c:f>
              <c:num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Sheet3!$C$14:$J$14</c:f>
              <c:numCache>
                <c:ptCount val="8"/>
                <c:pt idx="0">
                  <c:v>36.679</c:v>
                </c:pt>
                <c:pt idx="1">
                  <c:v>70.329</c:v>
                </c:pt>
                <c:pt idx="2">
                  <c:v>67.827</c:v>
                </c:pt>
                <c:pt idx="3">
                  <c:v>67.127</c:v>
                </c:pt>
                <c:pt idx="4">
                  <c:v>52.302</c:v>
                </c:pt>
                <c:pt idx="5">
                  <c:v>52.302</c:v>
                </c:pt>
                <c:pt idx="6">
                  <c:v>52.302</c:v>
                </c:pt>
                <c:pt idx="7">
                  <c:v>52.302</c:v>
                </c:pt>
              </c:numCache>
            </c:numRef>
          </c:val>
          <c:smooth val="0"/>
        </c:ser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76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&#1091;&#1089;&#1083;&#1091;&#1075;&#1080;\1.4%20&#1086;&#1073;&#1097;&#1072;&#1103;%20&#1088;&#1077;&#1072;&#1073;&#1080;&#1083;&#1080;&#1090;&#1072;&#1094;&#1080;&#1103;%20&#1076;&#1077;&#1090;&#1077;&#1081;-&#1080;&#1085;&#1074;&#1072;&#1083;&#1080;&#1076;&#1086;&#1074;\&#1088;&#1072;&#1089;&#1095;&#1077;&#1090;_&#1091;&#1089;&#1083;&#1091;&#1075;&#1072;_1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&#1091;&#1089;&#1083;&#1091;&#1075;&#1080;\1.3%20&#1090;&#1077;&#1083;&#1077;&#1092;%20&#1076;&#1086;&#1074;&#1077;&#1088;&#1080;&#1103;\&#1056;&#1072;&#1089;&#1095;&#1077;&#1090;%20&#1089;&#1090;&#1086;&#1080;&#1084;&#1086;&#1089;&#1090;&#1080;_&#1091;&#1089;&#1083;&#1091;&#1075;&#1072;1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&#1091;&#1089;&#1083;&#1091;&#1075;&#1080;\&#1080;&#1085;&#1074;&#1072;&#1083;&#1080;&#1076;&#1099;%20&#1087;&#1086;%20&#1088;&#1072;&#1081;&#1086;&#1085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ая услуга"/>
      <sheetName val="услуга максимум"/>
      <sheetName val="Sheet3"/>
    </sheetNames>
    <sheetDataSet>
      <sheetData sheetId="0">
        <row r="6">
          <cell r="C6">
            <v>3133</v>
          </cell>
        </row>
        <row r="12">
          <cell r="C12">
            <v>9000</v>
          </cell>
        </row>
        <row r="24">
          <cell r="C24">
            <v>20000</v>
          </cell>
        </row>
        <row r="27">
          <cell r="C27">
            <v>31000</v>
          </cell>
        </row>
        <row r="28">
          <cell r="C28">
            <v>35000</v>
          </cell>
        </row>
        <row r="30">
          <cell r="C30">
            <v>8000</v>
          </cell>
        </row>
        <row r="31">
          <cell r="C31">
            <v>116040.20000000001</v>
          </cell>
        </row>
      </sheetData>
      <sheetData sheetId="1">
        <row r="23">
          <cell r="C23">
            <v>116040.20000000001</v>
          </cell>
        </row>
        <row r="25">
          <cell r="C25">
            <v>732.6</v>
          </cell>
        </row>
        <row r="27">
          <cell r="C27">
            <v>1221</v>
          </cell>
        </row>
        <row r="28">
          <cell r="C28">
            <v>30000</v>
          </cell>
        </row>
        <row r="29">
          <cell r="C29">
            <v>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C25">
            <v>24831.17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андровский"/>
      <sheetName val="Асиновский"/>
      <sheetName val="Бакчарский"/>
      <sheetName val="Верхнекетский"/>
      <sheetName val="Зырянский"/>
      <sheetName val="Каргасокский"/>
      <sheetName val="Кожевниковский"/>
      <sheetName val="Колпашевский"/>
      <sheetName val="Кривошеинский"/>
      <sheetName val="Молчановский"/>
      <sheetName val="Парабельский"/>
      <sheetName val="Первомайский"/>
      <sheetName val="Тегульдетский"/>
      <sheetName val="Томский"/>
      <sheetName val="Чаинский"/>
      <sheetName val="Шегарский"/>
      <sheetName val="Кедровый"/>
      <sheetName val="свод"/>
    </sheetNames>
    <sheetDataSet>
      <sheetData sheetId="17">
        <row r="19">
          <cell r="B19">
            <v>1872748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1"/>
  <sheetViews>
    <sheetView workbookViewId="0" topLeftCell="A1">
      <selection activeCell="G20" sqref="G20"/>
    </sheetView>
  </sheetViews>
  <sheetFormatPr defaultColWidth="9.140625" defaultRowHeight="12.75"/>
  <sheetData>
    <row r="3" ht="12">
      <c r="B3">
        <f>('1.1'!B20+'1.2'!B16+'1.3'!B29+'1.4_осн.'!B20+'1.5'!B17+'1.6'!B24+'1.7'!B12)*22+'2.1'!B19*40+'2.2'!B25*70+'3.1'!B27*22+18000</f>
        <v>6650720</v>
      </c>
    </row>
    <row r="19" ht="12">
      <c r="B19">
        <v>7000000</v>
      </c>
    </row>
    <row r="20" spans="3:7" ht="15">
      <c r="C20" s="114">
        <v>2580</v>
      </c>
      <c r="D20">
        <v>700</v>
      </c>
      <c r="E20">
        <f>C20-D20</f>
        <v>1880</v>
      </c>
      <c r="F20">
        <f>E20/E21</f>
        <v>75.2</v>
      </c>
      <c r="G20">
        <f>F20*35*2</f>
        <v>5264</v>
      </c>
    </row>
    <row r="21" spans="3:5" ht="12">
      <c r="C21">
        <f>B19/C20</f>
        <v>2713.1782945736436</v>
      </c>
      <c r="E21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7"/>
  <sheetViews>
    <sheetView workbookViewId="0" topLeftCell="A1">
      <selection activeCell="B18" sqref="B18:B19"/>
    </sheetView>
  </sheetViews>
  <sheetFormatPr defaultColWidth="9.140625" defaultRowHeight="12.75"/>
  <cols>
    <col min="1" max="1" width="41.28125" style="0" customWidth="1"/>
    <col min="2" max="2" width="16.7109375" style="0" customWidth="1"/>
    <col min="3" max="3" width="15.28125" style="0" customWidth="1"/>
    <col min="4" max="4" width="33.28125" style="0" customWidth="1"/>
  </cols>
  <sheetData>
    <row r="1" spans="1:12" ht="26.25" customHeight="1">
      <c r="A1" s="119" t="s">
        <v>186</v>
      </c>
      <c r="B1" s="119"/>
      <c r="C1" s="119"/>
      <c r="D1" s="119"/>
      <c r="E1" s="125"/>
      <c r="F1" s="1"/>
      <c r="G1" s="1"/>
      <c r="H1" s="1"/>
      <c r="I1" s="1"/>
      <c r="J1" s="1"/>
      <c r="K1" s="1"/>
      <c r="L1" s="1"/>
    </row>
    <row r="2" spans="1:12" ht="18" customHeight="1">
      <c r="A2" s="2" t="s">
        <v>2</v>
      </c>
      <c r="B2" s="3" t="s">
        <v>3</v>
      </c>
      <c r="C2" s="3" t="s">
        <v>110</v>
      </c>
      <c r="D2" s="4" t="s">
        <v>5</v>
      </c>
      <c r="E2" s="22"/>
      <c r="F2" s="1"/>
      <c r="G2" s="1"/>
      <c r="H2" s="1"/>
      <c r="I2" s="1"/>
      <c r="J2" s="1"/>
      <c r="K2" s="1"/>
      <c r="L2" s="1"/>
    </row>
    <row r="3" spans="1:12" ht="21.75" customHeight="1">
      <c r="A3" s="116" t="s">
        <v>6</v>
      </c>
      <c r="B3" s="116"/>
      <c r="C3" s="116"/>
      <c r="D3" s="117"/>
      <c r="E3" s="1"/>
      <c r="F3" s="1"/>
      <c r="G3" s="1"/>
      <c r="H3" s="1"/>
      <c r="I3" s="1"/>
      <c r="J3" s="1"/>
      <c r="K3" s="1"/>
      <c r="L3" s="1"/>
    </row>
    <row r="4" spans="1:12" ht="17.25" customHeight="1">
      <c r="A4" s="2" t="s">
        <v>7</v>
      </c>
      <c r="B4" s="6">
        <f>SUM(B5:B8)</f>
        <v>11508</v>
      </c>
      <c r="C4" s="6">
        <f>B4/15</f>
        <v>767.2</v>
      </c>
      <c r="D4" s="7"/>
      <c r="E4" s="1"/>
      <c r="F4" s="1"/>
      <c r="G4" s="1"/>
      <c r="H4" s="1"/>
      <c r="I4" s="1"/>
      <c r="J4" s="1"/>
      <c r="K4" s="1"/>
      <c r="L4" s="1"/>
    </row>
    <row r="5" spans="1:12" ht="25.5" customHeight="1">
      <c r="A5" s="10" t="s">
        <v>171</v>
      </c>
      <c r="B5" s="7">
        <f>6266*0.5</f>
        <v>3133</v>
      </c>
      <c r="C5" s="7"/>
      <c r="D5" s="7"/>
      <c r="E5" s="1"/>
      <c r="F5" s="1"/>
      <c r="G5" s="1"/>
      <c r="H5" s="1"/>
      <c r="I5" s="1"/>
      <c r="J5" s="1"/>
      <c r="K5" s="1"/>
      <c r="L5" s="1"/>
    </row>
    <row r="6" spans="1:12" ht="26.25" customHeight="1">
      <c r="A6" s="10" t="s">
        <v>172</v>
      </c>
      <c r="B6" s="7">
        <f>4500*0.75</f>
        <v>3375</v>
      </c>
      <c r="C6" s="7"/>
      <c r="D6" s="7" t="s">
        <v>173</v>
      </c>
      <c r="E6" s="1"/>
      <c r="F6" s="1"/>
      <c r="G6" s="1"/>
      <c r="H6" s="1"/>
      <c r="I6" s="1"/>
      <c r="J6" s="1"/>
      <c r="K6" s="1"/>
      <c r="L6" s="1"/>
    </row>
    <row r="7" spans="1:12" ht="33" customHeight="1">
      <c r="A7" s="10" t="s">
        <v>174</v>
      </c>
      <c r="B7" s="7">
        <v>2500</v>
      </c>
      <c r="C7" s="7"/>
      <c r="D7" s="131" t="s">
        <v>175</v>
      </c>
      <c r="E7" s="1"/>
      <c r="F7" s="1"/>
      <c r="G7" s="1"/>
      <c r="H7" s="1"/>
      <c r="I7" s="1"/>
      <c r="J7" s="1"/>
      <c r="K7" s="1"/>
      <c r="L7" s="1"/>
    </row>
    <row r="8" spans="1:12" ht="36" customHeight="1">
      <c r="A8" s="10" t="s">
        <v>176</v>
      </c>
      <c r="B8" s="11">
        <v>2500</v>
      </c>
      <c r="C8" s="7"/>
      <c r="D8" s="132"/>
      <c r="E8" s="1"/>
      <c r="F8" s="1"/>
      <c r="G8" s="1"/>
      <c r="H8" s="1"/>
      <c r="I8" s="1"/>
      <c r="J8" s="1"/>
      <c r="K8" s="1"/>
      <c r="L8" s="1"/>
    </row>
    <row r="9" spans="1:12" ht="12.75">
      <c r="A9" s="2" t="s">
        <v>14</v>
      </c>
      <c r="B9" s="36">
        <f>B4*0.26</f>
        <v>2992.08</v>
      </c>
      <c r="C9" s="6">
        <f>B9/15</f>
        <v>199.472</v>
      </c>
      <c r="D9" s="7"/>
      <c r="E9" s="1"/>
      <c r="F9" s="1"/>
      <c r="G9" s="1"/>
      <c r="H9" s="1"/>
      <c r="I9" s="1"/>
      <c r="J9" s="1"/>
      <c r="K9" s="1"/>
      <c r="L9" s="1"/>
    </row>
    <row r="10" spans="1:12" ht="27.75" customHeight="1">
      <c r="A10" s="2" t="s">
        <v>15</v>
      </c>
      <c r="B10" s="6">
        <v>1000</v>
      </c>
      <c r="C10" s="6">
        <f>B10/15</f>
        <v>66.66666666666667</v>
      </c>
      <c r="D10" s="7" t="s">
        <v>177</v>
      </c>
      <c r="E10" s="1"/>
      <c r="F10" s="1"/>
      <c r="G10" s="1"/>
      <c r="H10" s="1"/>
      <c r="I10" s="1"/>
      <c r="J10" s="1"/>
      <c r="K10" s="1"/>
      <c r="L10" s="1"/>
    </row>
    <row r="11" spans="1:12" ht="24.75" customHeight="1">
      <c r="A11" s="2" t="s">
        <v>178</v>
      </c>
      <c r="B11" s="6">
        <v>4000</v>
      </c>
      <c r="C11" s="6">
        <f>B11/15</f>
        <v>266.6666666666667</v>
      </c>
      <c r="D11" s="7"/>
      <c r="E11" s="1"/>
      <c r="F11" s="1"/>
      <c r="G11" s="1"/>
      <c r="H11" s="1"/>
      <c r="I11" s="1"/>
      <c r="J11" s="1"/>
      <c r="K11" s="1"/>
      <c r="L11" s="1"/>
    </row>
    <row r="12" spans="1:12" ht="31.5" customHeight="1">
      <c r="A12" s="2" t="s">
        <v>179</v>
      </c>
      <c r="B12" s="2">
        <v>0</v>
      </c>
      <c r="C12" s="2">
        <v>0</v>
      </c>
      <c r="D12" s="7" t="s">
        <v>180</v>
      </c>
      <c r="E12" s="1"/>
      <c r="F12" s="1"/>
      <c r="G12" s="1"/>
      <c r="H12" s="1"/>
      <c r="I12" s="1"/>
      <c r="J12" s="1"/>
      <c r="K12" s="1"/>
      <c r="L12" s="1"/>
    </row>
    <row r="13" spans="1:12" ht="24" customHeight="1">
      <c r="A13" s="2" t="s">
        <v>23</v>
      </c>
      <c r="B13" s="6">
        <f>((B18+B19)*0.056)/12</f>
        <v>76.06666666666668</v>
      </c>
      <c r="C13" s="6">
        <f>B13/15</f>
        <v>5.071111111111112</v>
      </c>
      <c r="D13" s="7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26" t="s">
        <v>24</v>
      </c>
      <c r="B14" s="15">
        <f>B4+B9+B10+B11+B12+B13</f>
        <v>19576.146666666667</v>
      </c>
      <c r="C14" s="15">
        <f>B14/15</f>
        <v>1305.0764444444444</v>
      </c>
      <c r="D14" s="17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16" t="s">
        <v>25</v>
      </c>
      <c r="B15" s="116"/>
      <c r="C15" s="116"/>
      <c r="D15" s="117"/>
      <c r="E15" s="1"/>
      <c r="F15" s="1"/>
      <c r="G15" s="1"/>
      <c r="H15" s="1"/>
      <c r="I15" s="1"/>
      <c r="J15" s="1"/>
      <c r="K15" s="1"/>
      <c r="L15" s="1"/>
    </row>
    <row r="16" spans="1:12" ht="31.5" customHeight="1">
      <c r="A16" s="2" t="s">
        <v>122</v>
      </c>
      <c r="B16" s="2">
        <v>0</v>
      </c>
      <c r="C16" s="7"/>
      <c r="D16" s="7"/>
      <c r="E16" s="1"/>
      <c r="F16" s="1"/>
      <c r="G16" s="1"/>
      <c r="H16" s="1"/>
      <c r="I16" s="1"/>
      <c r="J16" s="1"/>
      <c r="K16" s="1"/>
      <c r="L16" s="1"/>
    </row>
    <row r="17" spans="1:12" ht="81.75" customHeight="1">
      <c r="A17" s="2" t="s">
        <v>181</v>
      </c>
      <c r="B17" s="2">
        <f>((300*5)+(500*5*9)+(120*5*9)+2000)</f>
        <v>31400</v>
      </c>
      <c r="C17" s="7"/>
      <c r="D17" s="7" t="s">
        <v>182</v>
      </c>
      <c r="E17" s="1"/>
      <c r="F17" s="1"/>
      <c r="G17" s="1"/>
      <c r="H17" s="1"/>
      <c r="I17" s="1"/>
      <c r="J17" s="1"/>
      <c r="K17" s="1"/>
      <c r="L17" s="1"/>
    </row>
    <row r="18" spans="1:12" ht="48" customHeight="1">
      <c r="A18" s="2" t="s">
        <v>183</v>
      </c>
      <c r="B18" s="2">
        <v>7500</v>
      </c>
      <c r="C18" s="7"/>
      <c r="D18" s="7" t="s">
        <v>184</v>
      </c>
      <c r="E18" s="1"/>
      <c r="F18" s="1"/>
      <c r="G18" s="1"/>
      <c r="H18" s="1"/>
      <c r="I18" s="1"/>
      <c r="J18" s="1"/>
      <c r="K18" s="1"/>
      <c r="L18" s="1"/>
    </row>
    <row r="19" spans="1:12" ht="36.75" customHeight="1">
      <c r="A19" s="2" t="s">
        <v>185</v>
      </c>
      <c r="B19" s="2">
        <v>8800</v>
      </c>
      <c r="C19" s="7"/>
      <c r="D19" s="7"/>
      <c r="E19" s="1"/>
      <c r="F19" s="1"/>
      <c r="G19" s="1"/>
      <c r="H19" s="1"/>
      <c r="I19" s="1"/>
      <c r="J19" s="1"/>
      <c r="K19" s="1"/>
      <c r="L19" s="1"/>
    </row>
    <row r="20" spans="1:12" ht="12.75">
      <c r="A20" s="26" t="s">
        <v>40</v>
      </c>
      <c r="B20" s="26">
        <f>SUM(B16:B19)</f>
        <v>47700</v>
      </c>
      <c r="C20" s="17"/>
      <c r="D20" s="17"/>
      <c r="E20" s="1"/>
      <c r="F20" s="1"/>
      <c r="G20" s="1"/>
      <c r="H20" s="1"/>
      <c r="I20" s="1"/>
      <c r="J20" s="1"/>
      <c r="K20" s="1"/>
      <c r="L20" s="1"/>
    </row>
    <row r="21" spans="1:12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">
      <c r="A22" s="1"/>
      <c r="B22" s="54">
        <f>B14*12*18*3</f>
        <v>12685343.04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</sheetData>
  <mergeCells count="4">
    <mergeCell ref="A3:D3"/>
    <mergeCell ref="D7:D8"/>
    <mergeCell ref="A15:D15"/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5" sqref="A5:B6"/>
    </sheetView>
  </sheetViews>
  <sheetFormatPr defaultColWidth="9.140625" defaultRowHeight="12.75"/>
  <cols>
    <col min="1" max="1" width="38.140625" style="0" customWidth="1"/>
    <col min="2" max="2" width="16.57421875" style="0" customWidth="1"/>
    <col min="3" max="3" width="19.28125" style="0" customWidth="1"/>
    <col min="4" max="4" width="39.7109375" style="0" customWidth="1"/>
    <col min="6" max="6" width="10.421875" style="0" bestFit="1" customWidth="1"/>
  </cols>
  <sheetData>
    <row r="1" spans="1:5" ht="23.25" customHeight="1">
      <c r="A1" s="119" t="s">
        <v>225</v>
      </c>
      <c r="B1" s="119"/>
      <c r="C1" s="119"/>
      <c r="D1" s="119"/>
      <c r="E1" s="125"/>
    </row>
    <row r="2" spans="1:5" ht="35.25" customHeight="1">
      <c r="A2" s="2" t="s">
        <v>187</v>
      </c>
      <c r="B2" s="3" t="s">
        <v>3</v>
      </c>
      <c r="C2" s="3" t="s">
        <v>188</v>
      </c>
      <c r="D2" s="4" t="s">
        <v>5</v>
      </c>
      <c r="E2" s="40" t="s">
        <v>352</v>
      </c>
    </row>
    <row r="3" spans="1:4" ht="24.75" customHeight="1">
      <c r="A3" s="116" t="s">
        <v>6</v>
      </c>
      <c r="B3" s="116"/>
      <c r="C3" s="116"/>
      <c r="D3" s="117"/>
    </row>
    <row r="4" spans="1:13" ht="17.25" customHeight="1">
      <c r="A4" s="2" t="s">
        <v>7</v>
      </c>
      <c r="B4" s="6">
        <f>B5+B6+B7+B8</f>
        <v>17532</v>
      </c>
      <c r="C4" s="6">
        <f>B4/10</f>
        <v>1753.2</v>
      </c>
      <c r="D4" s="7"/>
      <c r="E4" s="54">
        <f>B4</f>
        <v>17532</v>
      </c>
      <c r="F4" s="1"/>
      <c r="G4" s="1"/>
      <c r="H4" s="1"/>
      <c r="I4" s="1"/>
      <c r="J4" s="1"/>
      <c r="K4" s="1"/>
      <c r="L4" s="1"/>
      <c r="M4" s="1"/>
    </row>
    <row r="5" spans="1:13" ht="24" customHeight="1">
      <c r="A5" s="10" t="s">
        <v>189</v>
      </c>
      <c r="B5" s="9">
        <f>6266</f>
        <v>6266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</row>
    <row r="6" spans="1:13" ht="12">
      <c r="A6" s="10" t="s">
        <v>190</v>
      </c>
      <c r="B6" s="9">
        <f>6266</f>
        <v>6266</v>
      </c>
      <c r="C6" s="9"/>
      <c r="D6" s="9"/>
      <c r="E6" s="1"/>
      <c r="F6" s="1"/>
      <c r="G6" s="1"/>
      <c r="H6" s="1"/>
      <c r="I6" s="1"/>
      <c r="J6" s="1"/>
      <c r="K6" s="1"/>
      <c r="L6" s="1"/>
      <c r="M6" s="1"/>
    </row>
    <row r="7" spans="1:13" ht="17.25" customHeight="1">
      <c r="A7" s="10" t="s">
        <v>191</v>
      </c>
      <c r="B7" s="7">
        <v>2500</v>
      </c>
      <c r="C7" s="7"/>
      <c r="D7" s="131" t="s">
        <v>192</v>
      </c>
      <c r="E7" s="1"/>
      <c r="F7" s="1"/>
      <c r="G7" s="1"/>
      <c r="H7" s="1"/>
      <c r="I7" s="1"/>
      <c r="J7" s="1"/>
      <c r="K7" s="1"/>
      <c r="L7" s="1"/>
      <c r="M7" s="1"/>
    </row>
    <row r="8" spans="1:13" ht="18.75" customHeight="1">
      <c r="A8" s="10" t="s">
        <v>193</v>
      </c>
      <c r="B8" s="7">
        <v>2500</v>
      </c>
      <c r="C8" s="7"/>
      <c r="D8" s="132"/>
      <c r="E8" s="1"/>
      <c r="F8" s="1"/>
      <c r="G8" s="1"/>
      <c r="H8" s="1"/>
      <c r="I8" s="1"/>
      <c r="J8" s="1"/>
      <c r="K8" s="1"/>
      <c r="L8" s="1"/>
      <c r="M8" s="1"/>
    </row>
    <row r="9" spans="1:13" ht="22.5" customHeight="1">
      <c r="A9" s="2" t="s">
        <v>14</v>
      </c>
      <c r="B9" s="13">
        <f>B4*0.26</f>
        <v>4558.32</v>
      </c>
      <c r="C9" s="6">
        <f>B9/10</f>
        <v>455.832</v>
      </c>
      <c r="D9" s="7"/>
      <c r="E9" s="54">
        <f>B9</f>
        <v>4558.32</v>
      </c>
      <c r="F9" s="1"/>
      <c r="G9" s="1"/>
      <c r="H9" s="1"/>
      <c r="I9" s="1"/>
      <c r="J9" s="1"/>
      <c r="K9" s="1"/>
      <c r="L9" s="1"/>
      <c r="M9" s="1"/>
    </row>
    <row r="10" spans="1:13" ht="33.75" customHeight="1">
      <c r="A10" s="2" t="s">
        <v>194</v>
      </c>
      <c r="B10" s="2">
        <v>0</v>
      </c>
      <c r="C10" s="2">
        <v>0</v>
      </c>
      <c r="D10" s="7" t="s">
        <v>195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33.75" customHeight="1">
      <c r="A11" s="2" t="s">
        <v>15</v>
      </c>
      <c r="B11" s="6">
        <f>500*10</f>
        <v>5000</v>
      </c>
      <c r="C11" s="6">
        <v>500</v>
      </c>
      <c r="D11" s="7" t="s">
        <v>196</v>
      </c>
      <c r="E11" s="1">
        <f>C11*50</f>
        <v>25000</v>
      </c>
      <c r="F11" s="1"/>
      <c r="G11" s="1"/>
      <c r="H11" s="1"/>
      <c r="I11" s="1"/>
      <c r="J11" s="1"/>
      <c r="K11" s="1"/>
      <c r="L11" s="1"/>
      <c r="M11" s="1"/>
    </row>
    <row r="12" spans="1:13" ht="49.5" customHeight="1">
      <c r="A12" s="2" t="s">
        <v>197</v>
      </c>
      <c r="B12" s="2">
        <f>(B13+B14+B15+B16+B17+B18)/6</f>
        <v>14250</v>
      </c>
      <c r="C12" s="2">
        <f>SUM(C13:C18)/6</f>
        <v>1425</v>
      </c>
      <c r="D12" s="7" t="s">
        <v>351</v>
      </c>
      <c r="E12" s="1">
        <f>C12*50/12</f>
        <v>5937.5</v>
      </c>
      <c r="F12" s="1"/>
      <c r="G12" s="1"/>
      <c r="H12" s="1"/>
      <c r="I12" s="1"/>
      <c r="J12" s="1"/>
      <c r="K12" s="1"/>
      <c r="L12" s="1"/>
      <c r="M12" s="1"/>
    </row>
    <row r="13" spans="1:13" ht="36" customHeight="1">
      <c r="A13" s="10" t="s">
        <v>198</v>
      </c>
      <c r="B13" s="19">
        <f aca="true" t="shared" si="0" ref="B13:B18">C13*10</f>
        <v>30000</v>
      </c>
      <c r="C13" s="19">
        <v>3000</v>
      </c>
      <c r="D13" s="7" t="s">
        <v>222</v>
      </c>
      <c r="E13" s="60">
        <f>SUM(E4:E12)</f>
        <v>53027.82</v>
      </c>
      <c r="F13" s="60">
        <f>E13*12*21</f>
        <v>13363010.639999999</v>
      </c>
      <c r="G13" s="1"/>
      <c r="H13" s="1"/>
      <c r="I13" s="1"/>
      <c r="J13" s="1"/>
      <c r="K13" s="1"/>
      <c r="L13" s="1"/>
      <c r="M13" s="1"/>
    </row>
    <row r="14" spans="1:13" ht="32.25" customHeight="1">
      <c r="A14" s="10" t="s">
        <v>199</v>
      </c>
      <c r="B14" s="19">
        <f t="shared" si="0"/>
        <v>50000</v>
      </c>
      <c r="C14" s="7">
        <v>5000</v>
      </c>
      <c r="D14" s="7" t="s">
        <v>223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">
      <c r="A15" s="10" t="s">
        <v>200</v>
      </c>
      <c r="B15" s="19">
        <f t="shared" si="0"/>
        <v>1500</v>
      </c>
      <c r="C15" s="7">
        <v>150</v>
      </c>
      <c r="D15" s="7" t="s">
        <v>201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30" customHeight="1">
      <c r="A16" s="10" t="s">
        <v>202</v>
      </c>
      <c r="B16" s="19">
        <f t="shared" si="0"/>
        <v>2000</v>
      </c>
      <c r="C16" s="7">
        <v>200</v>
      </c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ht="21.75" customHeight="1">
      <c r="A17" s="10" t="s">
        <v>203</v>
      </c>
      <c r="B17" s="19">
        <f t="shared" si="0"/>
        <v>1500</v>
      </c>
      <c r="C17" s="7">
        <v>150</v>
      </c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ht="23.25" customHeight="1">
      <c r="A18" s="10" t="s">
        <v>204</v>
      </c>
      <c r="B18" s="19">
        <f t="shared" si="0"/>
        <v>500</v>
      </c>
      <c r="C18" s="7">
        <v>50</v>
      </c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ht="21.75" customHeight="1">
      <c r="A19" s="2" t="s">
        <v>23</v>
      </c>
      <c r="B19" s="6">
        <f>((B29+B30+B32+B33)*0.056)/12</f>
        <v>793.3333333333334</v>
      </c>
      <c r="C19" s="6">
        <f>B19/10</f>
        <v>79.33333333333334</v>
      </c>
      <c r="D19" s="7" t="s">
        <v>205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21" customHeight="1">
      <c r="A20" s="26" t="s">
        <v>24</v>
      </c>
      <c r="B20" s="20">
        <f>B4+B9+B10+B11+B12/12+B19</f>
        <v>29071.153333333332</v>
      </c>
      <c r="C20" s="20">
        <f>B20/10</f>
        <v>2907.115333333333</v>
      </c>
      <c r="D20" s="17"/>
      <c r="E20" s="1"/>
      <c r="F20" s="1"/>
      <c r="G20" s="1"/>
      <c r="H20" s="1"/>
      <c r="I20" s="1"/>
      <c r="J20" s="1"/>
      <c r="K20" s="1"/>
      <c r="L20" s="1"/>
      <c r="M20" s="1"/>
    </row>
    <row r="21" spans="1:13" ht="44.25" customHeight="1">
      <c r="A21" s="26" t="s">
        <v>224</v>
      </c>
      <c r="B21" s="20">
        <f>B20-B13-B14</f>
        <v>-50928.846666666665</v>
      </c>
      <c r="C21" s="38">
        <f>B21/10</f>
        <v>-5092.884666666667</v>
      </c>
      <c r="D21" s="37"/>
      <c r="E21" s="1"/>
      <c r="F21" s="1"/>
      <c r="G21" s="1"/>
      <c r="H21" s="1"/>
      <c r="I21" s="1"/>
      <c r="J21" s="1"/>
      <c r="K21" s="1"/>
      <c r="L21" s="1"/>
      <c r="M21" s="1"/>
    </row>
    <row r="22" spans="1:13" ht="19.5" customHeight="1">
      <c r="A22" s="116" t="s">
        <v>25</v>
      </c>
      <c r="B22" s="116"/>
      <c r="C22" s="116"/>
      <c r="D22" s="117"/>
      <c r="E22" s="1"/>
      <c r="F22" s="1"/>
      <c r="G22" s="1"/>
      <c r="H22" s="1"/>
      <c r="I22" s="1"/>
      <c r="J22" s="1"/>
      <c r="K22" s="1"/>
      <c r="L22" s="1"/>
      <c r="M22" s="1"/>
    </row>
    <row r="23" spans="1:13" ht="34.5" customHeight="1">
      <c r="A23" s="2" t="s">
        <v>206</v>
      </c>
      <c r="B23" s="2">
        <v>0</v>
      </c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</row>
    <row r="24" spans="1:13" ht="30" customHeight="1">
      <c r="A24" s="2" t="s">
        <v>207</v>
      </c>
      <c r="B24" s="2">
        <f>((300*3)+(500*3*9)+(120*3*9)+900)</f>
        <v>18540</v>
      </c>
      <c r="C24" s="7"/>
      <c r="D24" s="7" t="s">
        <v>208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34.5" customHeight="1">
      <c r="A25" s="2" t="s">
        <v>209</v>
      </c>
      <c r="B25" s="6">
        <f>814*1.8</f>
        <v>1465.2</v>
      </c>
      <c r="C25" s="7"/>
      <c r="D25" s="7" t="s">
        <v>210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ht="45" customHeight="1">
      <c r="A26" s="2" t="s">
        <v>211</v>
      </c>
      <c r="B26" s="6">
        <f>814*0.9</f>
        <v>732.6</v>
      </c>
      <c r="C26" s="7"/>
      <c r="D26" s="7" t="s">
        <v>164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26.25" customHeight="1">
      <c r="A27" s="2" t="s">
        <v>212</v>
      </c>
      <c r="B27" s="6">
        <f>814*0.9</f>
        <v>732.6</v>
      </c>
      <c r="C27" s="7"/>
      <c r="D27" s="7" t="s">
        <v>164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48.75" customHeight="1">
      <c r="A28" s="2" t="s">
        <v>213</v>
      </c>
      <c r="B28" s="6">
        <v>30000</v>
      </c>
      <c r="C28" s="7"/>
      <c r="D28" s="7" t="s">
        <v>131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48" customHeight="1">
      <c r="A29" s="2" t="s">
        <v>214</v>
      </c>
      <c r="B29" s="6">
        <v>50000</v>
      </c>
      <c r="C29" s="7"/>
      <c r="D29" s="7" t="s">
        <v>215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38.25" customHeight="1">
      <c r="A30" s="2" t="s">
        <v>216</v>
      </c>
      <c r="B30" s="6">
        <v>40000</v>
      </c>
      <c r="C30" s="7"/>
      <c r="D30" s="7" t="s">
        <v>131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36" customHeight="1">
      <c r="A31" s="2" t="s">
        <v>217</v>
      </c>
      <c r="B31" s="6">
        <v>20000</v>
      </c>
      <c r="C31" s="7"/>
      <c r="D31" s="7" t="s">
        <v>218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ht="42" customHeight="1">
      <c r="A32" s="2" t="s">
        <v>219</v>
      </c>
      <c r="B32" s="6">
        <v>50000</v>
      </c>
      <c r="C32" s="7"/>
      <c r="D32" s="7" t="s">
        <v>220</v>
      </c>
      <c r="E32" s="1"/>
      <c r="F32" s="1"/>
      <c r="G32" s="1"/>
      <c r="H32" s="1"/>
      <c r="I32" s="1"/>
      <c r="J32" s="1"/>
      <c r="K32" s="1"/>
      <c r="L32" s="1"/>
      <c r="M32" s="1"/>
    </row>
    <row r="33" spans="1:13" ht="24.75" customHeight="1">
      <c r="A33" s="2" t="s">
        <v>221</v>
      </c>
      <c r="B33" s="6">
        <v>30000</v>
      </c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</row>
    <row r="34" spans="1:13" ht="19.5" customHeight="1">
      <c r="A34" s="26" t="s">
        <v>40</v>
      </c>
      <c r="B34" s="15">
        <f>B23+B24+B25+B26+B27+B28+B30+B31</f>
        <v>111470.4</v>
      </c>
      <c r="C34" s="17"/>
      <c r="D34" s="17"/>
      <c r="E34" s="1"/>
      <c r="F34" s="1"/>
      <c r="G34" s="1"/>
      <c r="H34" s="1"/>
      <c r="I34" s="1"/>
      <c r="J34" s="1"/>
      <c r="K34" s="1"/>
      <c r="L34" s="1"/>
      <c r="M34" s="1"/>
    </row>
    <row r="35" spans="1:13" ht="29.25" customHeight="1">
      <c r="A35" s="26" t="s">
        <v>109</v>
      </c>
      <c r="B35" s="15">
        <f>B23+B24+B25+B26+B27+B29+B30+B32+B33</f>
        <v>191470.4</v>
      </c>
      <c r="C35" s="17"/>
      <c r="D35" s="17"/>
      <c r="E35" s="1"/>
      <c r="F35" s="1"/>
      <c r="G35" s="1"/>
      <c r="H35" s="1"/>
      <c r="I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59">
        <f>B20*12*21</f>
        <v>7325930.64</v>
      </c>
      <c r="C37" s="59">
        <f>B34*22</f>
        <v>2452348.8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mergeCells count="4">
    <mergeCell ref="A1:E1"/>
    <mergeCell ref="A3:D3"/>
    <mergeCell ref="D7:D8"/>
    <mergeCell ref="A22:D2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B16" sqref="B16"/>
    </sheetView>
  </sheetViews>
  <sheetFormatPr defaultColWidth="9.140625" defaultRowHeight="12.75"/>
  <cols>
    <col min="1" max="1" width="33.57421875" style="0" customWidth="1"/>
    <col min="2" max="2" width="17.140625" style="0" customWidth="1"/>
    <col min="3" max="3" width="20.140625" style="0" customWidth="1"/>
    <col min="4" max="4" width="39.8515625" style="0" customWidth="1"/>
  </cols>
  <sheetData>
    <row r="1" spans="1:5" ht="24" customHeight="1">
      <c r="A1" s="122" t="s">
        <v>237</v>
      </c>
      <c r="B1" s="122"/>
      <c r="C1" s="122"/>
      <c r="D1" s="122"/>
      <c r="E1" s="130"/>
    </row>
    <row r="2" spans="1:5" ht="53.25" customHeight="1">
      <c r="A2" s="2" t="s">
        <v>2</v>
      </c>
      <c r="B2" s="3" t="s">
        <v>3</v>
      </c>
      <c r="C2" s="3" t="s">
        <v>356</v>
      </c>
      <c r="D2" s="4" t="s">
        <v>5</v>
      </c>
      <c r="E2" s="40"/>
    </row>
    <row r="3" spans="1:4" ht="26.25" customHeight="1">
      <c r="A3" s="133" t="s">
        <v>6</v>
      </c>
      <c r="B3" s="133"/>
      <c r="C3" s="133"/>
      <c r="D3" s="134"/>
    </row>
    <row r="4" spans="1:13" ht="32.25" customHeight="1">
      <c r="A4" s="2" t="s">
        <v>226</v>
      </c>
      <c r="B4" s="6">
        <f>'[2]Sheet1'!$C$25</f>
        <v>24831.17</v>
      </c>
      <c r="C4" s="7"/>
      <c r="D4" s="7" t="s">
        <v>227</v>
      </c>
      <c r="E4" s="1"/>
      <c r="F4" s="1"/>
      <c r="G4" s="1"/>
      <c r="H4" s="1"/>
      <c r="I4" s="1"/>
      <c r="J4" s="1"/>
      <c r="K4" s="1"/>
      <c r="L4" s="1"/>
      <c r="M4" s="1"/>
    </row>
    <row r="5" spans="1:13" ht="37.5" customHeight="1">
      <c r="A5" s="2" t="s">
        <v>228</v>
      </c>
      <c r="B5" s="6">
        <f>SUM(B6:B10)</f>
        <v>31580.64</v>
      </c>
      <c r="C5" s="7"/>
      <c r="D5" s="7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>
      <c r="A6" s="10" t="s">
        <v>193</v>
      </c>
      <c r="B6" s="7">
        <f>6266</f>
        <v>6266</v>
      </c>
      <c r="C6" s="7"/>
      <c r="D6" s="7" t="s">
        <v>229</v>
      </c>
      <c r="E6" s="1"/>
      <c r="F6" s="1"/>
      <c r="G6" s="1"/>
      <c r="H6" s="1"/>
      <c r="I6" s="1"/>
      <c r="J6" s="1"/>
      <c r="K6" s="1"/>
      <c r="L6" s="1"/>
      <c r="M6" s="1"/>
    </row>
    <row r="7" spans="1:13" ht="24" customHeight="1">
      <c r="A7" s="10" t="s">
        <v>230</v>
      </c>
      <c r="B7" s="7">
        <f>6266</f>
        <v>6266</v>
      </c>
      <c r="C7" s="7"/>
      <c r="D7" s="7" t="s">
        <v>231</v>
      </c>
      <c r="E7" s="1"/>
      <c r="F7" s="1"/>
      <c r="G7" s="1"/>
      <c r="H7" s="1"/>
      <c r="I7" s="1"/>
      <c r="J7" s="1"/>
      <c r="K7" s="1"/>
      <c r="L7" s="1"/>
      <c r="M7" s="1"/>
    </row>
    <row r="8" spans="1:13" ht="20.25" customHeight="1">
      <c r="A8" s="10" t="s">
        <v>13</v>
      </c>
      <c r="B8" s="7">
        <f>6266</f>
        <v>6266</v>
      </c>
      <c r="C8" s="7"/>
      <c r="D8" s="7" t="s">
        <v>231</v>
      </c>
      <c r="E8" s="1"/>
      <c r="F8" s="1"/>
      <c r="G8" s="1"/>
      <c r="H8" s="1"/>
      <c r="I8" s="1"/>
      <c r="J8" s="1"/>
      <c r="K8" s="1"/>
      <c r="L8" s="1"/>
      <c r="M8" s="1"/>
    </row>
    <row r="9" spans="1:13" ht="15.75" customHeight="1">
      <c r="A9" s="10" t="s">
        <v>232</v>
      </c>
      <c r="B9" s="7">
        <f>6266</f>
        <v>6266</v>
      </c>
      <c r="C9" s="7"/>
      <c r="D9" s="7" t="s">
        <v>231</v>
      </c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0" t="s">
        <v>14</v>
      </c>
      <c r="B10" s="11">
        <f>(B6+B7+B8+B9)*0.26</f>
        <v>6516.64</v>
      </c>
      <c r="C10" s="7"/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27.75" customHeight="1">
      <c r="A11" s="2" t="s">
        <v>233</v>
      </c>
      <c r="B11" s="36">
        <f>'2.1'!B17</f>
        <v>18810.986666666668</v>
      </c>
      <c r="C11" s="7"/>
      <c r="D11" s="7" t="s">
        <v>234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29.25" customHeight="1">
      <c r="A12" s="2" t="s">
        <v>235</v>
      </c>
      <c r="B12" s="2">
        <v>1000</v>
      </c>
      <c r="C12" s="7"/>
      <c r="D12" s="7" t="s">
        <v>355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25.5" customHeight="1">
      <c r="A13" s="2" t="s">
        <v>236</v>
      </c>
      <c r="B13" s="2">
        <v>0</v>
      </c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21.75" customHeight="1">
      <c r="A14" s="26" t="s">
        <v>24</v>
      </c>
      <c r="B14" s="15">
        <f>B4+B5+B11+B12+B13</f>
        <v>76222.79666666666</v>
      </c>
      <c r="C14" s="15">
        <f>B14/25</f>
        <v>3048.9118666666664</v>
      </c>
      <c r="D14" s="17"/>
      <c r="E14" s="1"/>
      <c r="F14" s="1"/>
      <c r="G14" s="1"/>
      <c r="H14" s="1"/>
      <c r="I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59">
        <f>(B14-B4)*12*21</f>
        <v>12950689.92</v>
      </c>
      <c r="C16" s="1"/>
      <c r="D16" s="1" t="s">
        <v>354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2">
    <mergeCell ref="A3:D3"/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B11" sqref="B11"/>
    </sheetView>
  </sheetViews>
  <sheetFormatPr defaultColWidth="9.140625" defaultRowHeight="12.75"/>
  <cols>
    <col min="1" max="1" width="37.140625" style="0" customWidth="1"/>
    <col min="2" max="2" width="17.00390625" style="0" customWidth="1"/>
    <col min="3" max="3" width="16.421875" style="0" customWidth="1"/>
    <col min="4" max="4" width="42.28125" style="0" customWidth="1"/>
  </cols>
  <sheetData>
    <row r="1" spans="1:12" ht="20.25" customHeight="1">
      <c r="A1" s="125" t="s">
        <v>250</v>
      </c>
      <c r="B1" s="125"/>
      <c r="C1" s="125"/>
      <c r="D1" s="125"/>
      <c r="E1" s="125"/>
      <c r="F1" s="1"/>
      <c r="G1" s="1"/>
      <c r="H1" s="1"/>
      <c r="I1" s="1"/>
      <c r="J1" s="1"/>
      <c r="K1" s="1"/>
      <c r="L1" s="1"/>
    </row>
    <row r="2" spans="1:12" ht="20.25" customHeight="1">
      <c r="A2" s="119" t="s">
        <v>251</v>
      </c>
      <c r="B2" s="119"/>
      <c r="C2" s="119"/>
      <c r="D2" s="119"/>
      <c r="E2" s="125"/>
      <c r="F2" s="1"/>
      <c r="G2" s="1"/>
      <c r="H2" s="1"/>
      <c r="I2" s="1"/>
      <c r="J2" s="1"/>
      <c r="K2" s="1"/>
      <c r="L2" s="1"/>
    </row>
    <row r="3" spans="1:12" ht="12.75">
      <c r="A3" s="2" t="s">
        <v>2</v>
      </c>
      <c r="B3" s="3" t="s">
        <v>3</v>
      </c>
      <c r="C3" s="3" t="s">
        <v>110</v>
      </c>
      <c r="D3" s="4" t="s">
        <v>5</v>
      </c>
      <c r="E3" s="22"/>
      <c r="F3" s="1"/>
      <c r="G3" s="1"/>
      <c r="H3" s="1"/>
      <c r="I3" s="1"/>
      <c r="J3" s="1"/>
      <c r="K3" s="1"/>
      <c r="L3" s="1"/>
    </row>
    <row r="4" spans="1:12" ht="21.75" customHeight="1">
      <c r="A4" s="116" t="s">
        <v>6</v>
      </c>
      <c r="B4" s="116"/>
      <c r="C4" s="116"/>
      <c r="D4" s="117"/>
      <c r="E4" s="1"/>
      <c r="F4" s="1"/>
      <c r="G4" s="1"/>
      <c r="H4" s="1"/>
      <c r="I4" s="1"/>
      <c r="J4" s="1"/>
      <c r="K4" s="1"/>
      <c r="L4" s="1"/>
    </row>
    <row r="5" spans="1:12" ht="33.75" customHeight="1">
      <c r="A5" s="2" t="s">
        <v>7</v>
      </c>
      <c r="B5" s="2">
        <f>SUM(B6:B8)</f>
        <v>12532</v>
      </c>
      <c r="C5" s="6">
        <f>B5/6</f>
        <v>2088.6666666666665</v>
      </c>
      <c r="D5" s="7" t="s">
        <v>238</v>
      </c>
      <c r="E5" s="1"/>
      <c r="F5" s="1"/>
      <c r="G5" s="1"/>
      <c r="H5" s="1"/>
      <c r="I5" s="1"/>
      <c r="J5" s="1"/>
      <c r="K5" s="1"/>
      <c r="L5" s="1"/>
    </row>
    <row r="6" spans="1:12" ht="26.25" customHeight="1">
      <c r="A6" s="10" t="s">
        <v>189</v>
      </c>
      <c r="B6" s="7">
        <f>6266</f>
        <v>6266</v>
      </c>
      <c r="C6" s="7"/>
      <c r="D6" s="9"/>
      <c r="E6" s="1"/>
      <c r="F6" s="1"/>
      <c r="G6" s="1"/>
      <c r="H6" s="1"/>
      <c r="I6" s="1"/>
      <c r="J6" s="1"/>
      <c r="K6" s="1"/>
      <c r="L6" s="1"/>
    </row>
    <row r="7" spans="1:12" ht="25.5" customHeight="1">
      <c r="A7" s="10" t="s">
        <v>239</v>
      </c>
      <c r="B7" s="11">
        <f>6266*0.25</f>
        <v>1566.5</v>
      </c>
      <c r="C7" s="7"/>
      <c r="D7" s="7"/>
      <c r="E7" s="1"/>
      <c r="F7" s="1"/>
      <c r="G7" s="1"/>
      <c r="H7" s="1"/>
      <c r="I7" s="1"/>
      <c r="J7" s="1"/>
      <c r="K7" s="1"/>
      <c r="L7" s="1"/>
    </row>
    <row r="8" spans="1:12" ht="36.75" customHeight="1">
      <c r="A8" s="10" t="s">
        <v>240</v>
      </c>
      <c r="B8" s="11">
        <f>6266*0.75</f>
        <v>4699.5</v>
      </c>
      <c r="C8" s="7"/>
      <c r="D8" s="7" t="s">
        <v>241</v>
      </c>
      <c r="E8" s="1"/>
      <c r="F8" s="1"/>
      <c r="G8" s="1"/>
      <c r="H8" s="1"/>
      <c r="I8" s="1"/>
      <c r="J8" s="1"/>
      <c r="K8" s="1"/>
      <c r="L8" s="1"/>
    </row>
    <row r="9" spans="1:12" ht="12.75">
      <c r="A9" s="2" t="s">
        <v>14</v>
      </c>
      <c r="B9" s="36">
        <f>B5*0.26</f>
        <v>3258.32</v>
      </c>
      <c r="C9" s="6">
        <f>B9/6</f>
        <v>543.0533333333334</v>
      </c>
      <c r="D9" s="7"/>
      <c r="E9" s="1"/>
      <c r="F9" s="1"/>
      <c r="G9" s="1"/>
      <c r="H9" s="1"/>
      <c r="I9" s="1"/>
      <c r="J9" s="1"/>
      <c r="K9" s="1"/>
      <c r="L9" s="1"/>
    </row>
    <row r="10" spans="1:12" ht="33.75" customHeight="1">
      <c r="A10" s="2" t="s">
        <v>194</v>
      </c>
      <c r="B10" s="2">
        <v>0</v>
      </c>
      <c r="C10" s="6">
        <v>0</v>
      </c>
      <c r="D10" s="7"/>
      <c r="E10" s="1"/>
      <c r="F10" s="1"/>
      <c r="G10" s="1"/>
      <c r="H10" s="1"/>
      <c r="I10" s="1"/>
      <c r="J10" s="1"/>
      <c r="K10" s="1"/>
      <c r="L10" s="1"/>
    </row>
    <row r="11" spans="1:12" ht="67.5" customHeight="1">
      <c r="A11" s="2" t="s">
        <v>242</v>
      </c>
      <c r="B11" s="2">
        <f>SUM(B12:B15)/4</f>
        <v>2750</v>
      </c>
      <c r="C11" s="2">
        <f>SUM(C12:C15)</f>
        <v>550</v>
      </c>
      <c r="D11" s="7" t="s">
        <v>353</v>
      </c>
      <c r="E11" s="1"/>
      <c r="F11" s="1"/>
      <c r="G11" s="1"/>
      <c r="H11" s="1"/>
      <c r="I11" s="1"/>
      <c r="J11" s="1"/>
      <c r="K11" s="1"/>
      <c r="L11" s="1"/>
    </row>
    <row r="12" spans="1:12" ht="30.75" customHeight="1">
      <c r="A12" s="10" t="s">
        <v>201</v>
      </c>
      <c r="B12" s="7">
        <f>150*20</f>
        <v>3000</v>
      </c>
      <c r="C12" s="7">
        <v>150</v>
      </c>
      <c r="D12" s="7"/>
      <c r="E12" s="1"/>
      <c r="F12" s="1"/>
      <c r="G12" s="1"/>
      <c r="H12" s="1"/>
      <c r="I12" s="1"/>
      <c r="J12" s="1"/>
      <c r="K12" s="1"/>
      <c r="L12" s="1"/>
    </row>
    <row r="13" spans="1:12" ht="40.5" customHeight="1">
      <c r="A13" s="10" t="s">
        <v>202</v>
      </c>
      <c r="B13" s="7">
        <f>200*20</f>
        <v>4000</v>
      </c>
      <c r="C13" s="7">
        <v>200</v>
      </c>
      <c r="D13" s="7"/>
      <c r="E13" s="1"/>
      <c r="F13" s="1"/>
      <c r="G13" s="1"/>
      <c r="H13" s="1"/>
      <c r="I13" s="1"/>
      <c r="J13" s="1"/>
      <c r="K13" s="1"/>
      <c r="L13" s="1"/>
    </row>
    <row r="14" spans="1:12" ht="30.75" customHeight="1">
      <c r="A14" s="10" t="s">
        <v>203</v>
      </c>
      <c r="B14" s="7">
        <f>150*20</f>
        <v>3000</v>
      </c>
      <c r="C14" s="7">
        <v>150</v>
      </c>
      <c r="D14" s="7"/>
      <c r="E14" s="1"/>
      <c r="F14" s="1"/>
      <c r="G14" s="1"/>
      <c r="H14" s="1"/>
      <c r="I14" s="1"/>
      <c r="J14" s="1"/>
      <c r="K14" s="1"/>
      <c r="L14" s="1"/>
    </row>
    <row r="15" spans="1:12" ht="30" customHeight="1">
      <c r="A15" s="10" t="s">
        <v>204</v>
      </c>
      <c r="B15" s="7">
        <f>50*20</f>
        <v>1000</v>
      </c>
      <c r="C15" s="7">
        <v>50</v>
      </c>
      <c r="D15" s="7"/>
      <c r="E15" s="1"/>
      <c r="F15" s="1"/>
      <c r="G15" s="1"/>
      <c r="H15" s="1"/>
      <c r="I15" s="1"/>
      <c r="J15" s="1"/>
      <c r="K15" s="1"/>
      <c r="L15" s="1"/>
    </row>
    <row r="16" spans="1:12" ht="33.75" customHeight="1">
      <c r="A16" s="2" t="s">
        <v>23</v>
      </c>
      <c r="B16" s="6">
        <f>(B20*0.056)/12</f>
        <v>270.6666666666667</v>
      </c>
      <c r="C16" s="6">
        <f>B16/6</f>
        <v>45.111111111111114</v>
      </c>
      <c r="D16" s="7"/>
      <c r="E16" s="1"/>
      <c r="F16" s="1"/>
      <c r="G16" s="1"/>
      <c r="H16" s="1"/>
      <c r="I16" s="1"/>
      <c r="J16" s="1"/>
      <c r="K16" s="1"/>
      <c r="L16" s="1"/>
    </row>
    <row r="17" spans="1:12" ht="12.75">
      <c r="A17" s="26" t="s">
        <v>24</v>
      </c>
      <c r="B17" s="20">
        <f>B5+B9+B10+B11+B16</f>
        <v>18810.986666666668</v>
      </c>
      <c r="C17" s="20">
        <f>C5+C9+C10+C11+C16</f>
        <v>3226.831111111111</v>
      </c>
      <c r="D17" s="41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116" t="s">
        <v>25</v>
      </c>
      <c r="B18" s="116"/>
      <c r="C18" s="116"/>
      <c r="D18" s="117"/>
      <c r="E18" s="1"/>
      <c r="F18" s="1"/>
      <c r="G18" s="1"/>
      <c r="H18" s="1"/>
      <c r="I18" s="1"/>
      <c r="J18" s="1"/>
      <c r="K18" s="1"/>
      <c r="L18" s="1"/>
    </row>
    <row r="19" spans="1:12" ht="56.25" customHeight="1">
      <c r="A19" s="2" t="s">
        <v>243</v>
      </c>
      <c r="B19" s="2">
        <f>((300*3)+(500*3*3)+(120*3*3)+600)</f>
        <v>7080</v>
      </c>
      <c r="C19" s="7"/>
      <c r="D19" s="7" t="s">
        <v>244</v>
      </c>
      <c r="E19" s="1"/>
      <c r="F19" s="1"/>
      <c r="G19" s="1"/>
      <c r="H19" s="1"/>
      <c r="I19" s="1"/>
      <c r="J19" s="1"/>
      <c r="K19" s="1"/>
      <c r="L19" s="1"/>
    </row>
    <row r="20" spans="1:12" ht="31.5" customHeight="1">
      <c r="A20" s="2" t="s">
        <v>32</v>
      </c>
      <c r="B20" s="2">
        <f>SUM(B21:B23)</f>
        <v>58000</v>
      </c>
      <c r="C20" s="7"/>
      <c r="D20" s="7"/>
      <c r="E20" s="1"/>
      <c r="F20" s="1"/>
      <c r="G20" s="1"/>
      <c r="H20" s="1"/>
      <c r="I20" s="1"/>
      <c r="J20" s="1"/>
      <c r="K20" s="1"/>
      <c r="L20" s="1"/>
    </row>
    <row r="21" spans="1:12" ht="40.5" customHeight="1">
      <c r="A21" s="10" t="s">
        <v>245</v>
      </c>
      <c r="B21" s="19">
        <f>3000*6</f>
        <v>18000</v>
      </c>
      <c r="C21" s="7"/>
      <c r="D21" s="7" t="s">
        <v>246</v>
      </c>
      <c r="E21" s="1"/>
      <c r="F21" s="1"/>
      <c r="G21" s="1"/>
      <c r="H21" s="1"/>
      <c r="I21" s="1"/>
      <c r="J21" s="1"/>
      <c r="K21" s="1"/>
      <c r="L21" s="1"/>
    </row>
    <row r="22" spans="1:12" ht="39" customHeight="1">
      <c r="A22" s="10" t="s">
        <v>247</v>
      </c>
      <c r="B22" s="7">
        <f>5000*6</f>
        <v>30000</v>
      </c>
      <c r="C22" s="7"/>
      <c r="D22" s="7" t="s">
        <v>248</v>
      </c>
      <c r="E22" s="1"/>
      <c r="F22" s="1"/>
      <c r="G22" s="1"/>
      <c r="H22" s="1"/>
      <c r="I22" s="1"/>
      <c r="J22" s="1"/>
      <c r="K22" s="1"/>
      <c r="L22" s="1"/>
    </row>
    <row r="23" spans="1:12" ht="32.25" customHeight="1">
      <c r="A23" s="10" t="s">
        <v>249</v>
      </c>
      <c r="B23" s="7">
        <v>10000</v>
      </c>
      <c r="C23" s="7"/>
      <c r="D23" s="7"/>
      <c r="E23" s="1"/>
      <c r="F23" s="1"/>
      <c r="G23" s="1"/>
      <c r="H23" s="1"/>
      <c r="I23" s="1"/>
      <c r="J23" s="1"/>
      <c r="K23" s="1"/>
      <c r="L23" s="1"/>
    </row>
    <row r="24" spans="1:12" ht="12.75">
      <c r="A24" s="30" t="s">
        <v>40</v>
      </c>
      <c r="B24" s="42">
        <f>B19+B20</f>
        <v>65080</v>
      </c>
      <c r="C24" s="17"/>
      <c r="D24" s="17"/>
      <c r="E24" s="1"/>
      <c r="F24" s="1"/>
      <c r="G24" s="1"/>
      <c r="H24" s="1"/>
      <c r="I24" s="1"/>
      <c r="J24" s="1"/>
      <c r="K24" s="1"/>
      <c r="L24" s="1"/>
    </row>
    <row r="25" spans="1:1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55">
        <f>B17*12*21*3</f>
        <v>14221105.920000002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4">
    <mergeCell ref="A4:D4"/>
    <mergeCell ref="A18:D18"/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21">
      <selection activeCell="B6" sqref="B6"/>
    </sheetView>
  </sheetViews>
  <sheetFormatPr defaultColWidth="9.140625" defaultRowHeight="12.75"/>
  <cols>
    <col min="1" max="1" width="36.421875" style="0" customWidth="1"/>
    <col min="2" max="2" width="17.00390625" style="0" customWidth="1"/>
    <col min="3" max="3" width="21.00390625" style="0" customWidth="1"/>
    <col min="4" max="4" width="34.28125" style="0" customWidth="1"/>
  </cols>
  <sheetData>
    <row r="1" spans="1:14" ht="24" customHeight="1">
      <c r="A1" s="122" t="s">
        <v>284</v>
      </c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</row>
    <row r="2" spans="1:14" ht="25.5" customHeight="1">
      <c r="A2" s="128" t="s">
        <v>285</v>
      </c>
      <c r="B2" s="135"/>
      <c r="C2" s="135"/>
      <c r="D2" s="135"/>
      <c r="E2" s="136"/>
      <c r="F2" s="1"/>
      <c r="G2" s="1"/>
      <c r="H2" s="1"/>
      <c r="I2" s="1"/>
      <c r="J2" s="1"/>
      <c r="K2" s="1"/>
      <c r="L2" s="1"/>
      <c r="M2" s="1"/>
      <c r="N2" s="1"/>
    </row>
    <row r="3" spans="1:14" ht="25.5" customHeight="1">
      <c r="A3" s="2" t="s">
        <v>187</v>
      </c>
      <c r="B3" s="3" t="s">
        <v>3</v>
      </c>
      <c r="C3" s="3" t="s">
        <v>252</v>
      </c>
      <c r="D3" s="4" t="s">
        <v>5</v>
      </c>
      <c r="E3" s="22"/>
      <c r="F3" s="1"/>
      <c r="G3" s="1"/>
      <c r="H3" s="1"/>
      <c r="I3" s="1"/>
      <c r="J3" s="1"/>
      <c r="K3" s="1"/>
      <c r="L3" s="1"/>
      <c r="M3" s="1"/>
      <c r="N3" s="1"/>
    </row>
    <row r="4" spans="1:14" ht="18.75" customHeight="1">
      <c r="A4" s="2" t="s">
        <v>6</v>
      </c>
      <c r="B4" s="3"/>
      <c r="C4" s="3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2" t="s">
        <v>253</v>
      </c>
      <c r="B5" s="2">
        <f>SUM(B6:B10)</f>
        <v>23497.5</v>
      </c>
      <c r="C5" s="6">
        <f>B5/8</f>
        <v>2937.1875</v>
      </c>
      <c r="D5" s="19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customHeight="1">
      <c r="A6" s="43" t="s">
        <v>254</v>
      </c>
      <c r="B6" s="7">
        <v>6266</v>
      </c>
      <c r="C6" s="6"/>
      <c r="D6" s="19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6.5" customHeight="1">
      <c r="A7" s="43" t="s">
        <v>255</v>
      </c>
      <c r="B7" s="11">
        <v>3133</v>
      </c>
      <c r="C7" s="6"/>
      <c r="D7" s="19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43" t="s">
        <v>256</v>
      </c>
      <c r="B8" s="19">
        <f>6266*0.25</f>
        <v>1566.5</v>
      </c>
      <c r="C8" s="6"/>
      <c r="D8" s="19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43" t="s">
        <v>257</v>
      </c>
      <c r="B9" s="19">
        <v>6266</v>
      </c>
      <c r="C9" s="6"/>
      <c r="D9" s="19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43" t="s">
        <v>258</v>
      </c>
      <c r="B10" s="19">
        <v>6266</v>
      </c>
      <c r="C10" s="6"/>
      <c r="D10" s="19" t="s">
        <v>259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2" t="s">
        <v>14</v>
      </c>
      <c r="B11" s="6">
        <f>B5*0.26</f>
        <v>6109.35</v>
      </c>
      <c r="C11" s="6">
        <f>B11/8</f>
        <v>763.66875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2" t="s">
        <v>260</v>
      </c>
      <c r="B12" s="24">
        <f>SUM(B13:B13)</f>
        <v>500</v>
      </c>
      <c r="C12" s="13">
        <f>B12/8</f>
        <v>62.5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43.5" customHeight="1">
      <c r="A13" s="44" t="s">
        <v>261</v>
      </c>
      <c r="B13" s="19">
        <v>500</v>
      </c>
      <c r="C13" s="19"/>
      <c r="D13" s="19" t="s">
        <v>262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7.75" customHeight="1">
      <c r="A14" s="45" t="s">
        <v>117</v>
      </c>
      <c r="B14" s="13">
        <f>SUM(B15:B17)</f>
        <v>29107.4</v>
      </c>
      <c r="C14" s="13">
        <f>C15+C16+C17+C18</f>
        <v>3763.375</v>
      </c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1.5" customHeight="1">
      <c r="A15" s="46" t="s">
        <v>263</v>
      </c>
      <c r="B15" s="29">
        <f>3000*8</f>
        <v>24000</v>
      </c>
      <c r="C15" s="11">
        <v>3000</v>
      </c>
      <c r="D15" s="7" t="s">
        <v>264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6.75" customHeight="1">
      <c r="A16" s="46" t="s">
        <v>265</v>
      </c>
      <c r="B16" s="47">
        <f>60*16.79</f>
        <v>1007.4</v>
      </c>
      <c r="C16" s="11">
        <f>1007/8</f>
        <v>125.875</v>
      </c>
      <c r="D16" s="7" t="s">
        <v>266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7" customHeight="1">
      <c r="A17" s="43" t="s">
        <v>159</v>
      </c>
      <c r="B17" s="48">
        <v>4100</v>
      </c>
      <c r="C17" s="48">
        <f>B17/8</f>
        <v>512.5</v>
      </c>
      <c r="D17" s="7" t="s">
        <v>267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44.25" customHeight="1">
      <c r="A18" s="10" t="s">
        <v>268</v>
      </c>
      <c r="B18" s="48">
        <v>1000</v>
      </c>
      <c r="C18" s="48">
        <f>B18/8</f>
        <v>125</v>
      </c>
      <c r="D18" s="7" t="s">
        <v>269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43.5" customHeight="1">
      <c r="A19" s="45" t="s">
        <v>270</v>
      </c>
      <c r="B19" s="6">
        <f>((200*8)/12)+4*200</f>
        <v>933.3333333333334</v>
      </c>
      <c r="C19" s="6">
        <f>B19/8</f>
        <v>116.66666666666667</v>
      </c>
      <c r="D19" s="7" t="s">
        <v>271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0.75" customHeight="1">
      <c r="A20" s="2" t="s">
        <v>272</v>
      </c>
      <c r="B20" s="24">
        <v>0</v>
      </c>
      <c r="C20" s="24">
        <v>0</v>
      </c>
      <c r="D20" s="7" t="s">
        <v>273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3.25" customHeight="1">
      <c r="A21" s="2" t="s">
        <v>23</v>
      </c>
      <c r="B21" s="13">
        <f>(B27*0.056)/12</f>
        <v>130.66666666666666</v>
      </c>
      <c r="C21" s="13">
        <f>B21/8</f>
        <v>16.333333333333332</v>
      </c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4" customHeight="1">
      <c r="A22" s="49" t="s">
        <v>24</v>
      </c>
      <c r="B22" s="15">
        <f>B5+B11+B12+B14+B19+B20+B21</f>
        <v>60278.25</v>
      </c>
      <c r="C22" s="15">
        <f>B22/8</f>
        <v>7534.78125</v>
      </c>
      <c r="D22" s="17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9.5" customHeight="1">
      <c r="A23" s="24" t="s">
        <v>25</v>
      </c>
      <c r="B23" s="7"/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37.5" customHeight="1">
      <c r="A24" s="2" t="s">
        <v>88</v>
      </c>
      <c r="B24" s="2">
        <f>814*3</f>
        <v>2442</v>
      </c>
      <c r="C24" s="6"/>
      <c r="D24" s="7" t="s">
        <v>274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41.25" customHeight="1">
      <c r="A25" s="2" t="s">
        <v>275</v>
      </c>
      <c r="B25" s="2">
        <f>((300*5)+(500*5*5)+(120*5*5)+2000)</f>
        <v>19000</v>
      </c>
      <c r="C25" s="2"/>
      <c r="D25" s="7" t="s">
        <v>276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3.25" customHeight="1">
      <c r="A26" s="2" t="s">
        <v>277</v>
      </c>
      <c r="B26" s="2">
        <v>0</v>
      </c>
      <c r="C26" s="2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4.75" customHeight="1">
      <c r="A27" s="12" t="s">
        <v>278</v>
      </c>
      <c r="B27" s="24">
        <f>SUM(B28:B31)</f>
        <v>28000</v>
      </c>
      <c r="C27" s="13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6.25" customHeight="1">
      <c r="A28" s="44" t="s">
        <v>279</v>
      </c>
      <c r="B28" s="7">
        <v>15000</v>
      </c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.75" customHeight="1">
      <c r="A29" s="44" t="s">
        <v>280</v>
      </c>
      <c r="B29" s="7">
        <v>3000</v>
      </c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3.25" customHeight="1">
      <c r="A30" s="44" t="s">
        <v>281</v>
      </c>
      <c r="B30" s="7">
        <v>7000</v>
      </c>
      <c r="C30" s="7"/>
      <c r="D30" s="50" t="s">
        <v>282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33.75" customHeight="1">
      <c r="A31" s="46" t="s">
        <v>283</v>
      </c>
      <c r="B31" s="7">
        <v>3000</v>
      </c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6.5" customHeight="1">
      <c r="A32" s="42" t="s">
        <v>40</v>
      </c>
      <c r="B32" s="42">
        <f>B24+B25+B26+74692</f>
        <v>96134</v>
      </c>
      <c r="C32" s="15"/>
      <c r="D32" s="37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">
      <c r="A34" s="1"/>
      <c r="B34" s="1">
        <f>B22*12*21*3</f>
        <v>45570357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20">
      <selection activeCell="E22" sqref="E22"/>
    </sheetView>
  </sheetViews>
  <sheetFormatPr defaultColWidth="9.140625" defaultRowHeight="12.75"/>
  <cols>
    <col min="1" max="1" width="38.00390625" style="0" customWidth="1"/>
    <col min="2" max="2" width="15.00390625" style="0" customWidth="1"/>
    <col min="3" max="3" width="15.8515625" style="0" customWidth="1"/>
    <col min="4" max="4" width="42.00390625" style="0" customWidth="1"/>
    <col min="5" max="5" width="11.421875" style="0" bestFit="1" customWidth="1"/>
    <col min="6" max="6" width="10.00390625" style="0" bestFit="1" customWidth="1"/>
  </cols>
  <sheetData>
    <row r="1" spans="1:14" ht="27" customHeight="1">
      <c r="A1" s="119" t="s">
        <v>302</v>
      </c>
      <c r="B1" s="119"/>
      <c r="C1" s="119"/>
      <c r="D1" s="119"/>
      <c r="E1" s="125"/>
      <c r="F1" s="1"/>
      <c r="G1" s="1"/>
      <c r="H1" s="1"/>
      <c r="I1" s="1"/>
      <c r="J1" s="1"/>
      <c r="K1" s="1"/>
      <c r="L1" s="1"/>
      <c r="M1" s="1"/>
      <c r="N1" s="1"/>
    </row>
    <row r="2" spans="1:14" ht="25.5">
      <c r="A2" s="2" t="s">
        <v>2</v>
      </c>
      <c r="B2" s="3" t="s">
        <v>3</v>
      </c>
      <c r="C2" s="3" t="s">
        <v>286</v>
      </c>
      <c r="D2" s="4" t="s">
        <v>5</v>
      </c>
      <c r="E2" s="22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>
      <c r="A3" s="116" t="s">
        <v>6</v>
      </c>
      <c r="B3" s="116"/>
      <c r="C3" s="116"/>
      <c r="D3" s="117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2.5" customHeight="1">
      <c r="A4" s="2" t="s">
        <v>7</v>
      </c>
      <c r="B4" s="6">
        <f>SUM(B6:B15)</f>
        <v>29064</v>
      </c>
      <c r="C4" s="6">
        <f>B4/25</f>
        <v>1162.56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2.5" customHeight="1">
      <c r="A5" s="51" t="s">
        <v>287</v>
      </c>
      <c r="B5" s="6"/>
      <c r="C5" s="6"/>
      <c r="D5" s="7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customHeight="1">
      <c r="A6" s="10" t="s">
        <v>189</v>
      </c>
      <c r="B6" s="7">
        <f>6266</f>
        <v>6266</v>
      </c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0" t="s">
        <v>190</v>
      </c>
      <c r="B7" s="7">
        <v>6266</v>
      </c>
      <c r="C7" s="7"/>
      <c r="D7" s="7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9.25" customHeight="1">
      <c r="A8" s="10" t="s">
        <v>288</v>
      </c>
      <c r="B8" s="7">
        <f>6266</f>
        <v>6266</v>
      </c>
      <c r="C8" s="7"/>
      <c r="D8" s="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2.5" customHeight="1">
      <c r="A9" s="51" t="s">
        <v>289</v>
      </c>
      <c r="B9" s="7"/>
      <c r="C9" s="7"/>
      <c r="D9" s="39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52.5" customHeight="1">
      <c r="A10" s="10" t="s">
        <v>290</v>
      </c>
      <c r="B10" s="11"/>
      <c r="C10" s="7"/>
      <c r="D10" s="35" t="s">
        <v>291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">
      <c r="A11" s="10" t="s">
        <v>292</v>
      </c>
      <c r="B11" s="7">
        <v>3000</v>
      </c>
      <c r="C11" s="7"/>
      <c r="D11" s="5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8.5" customHeight="1">
      <c r="A12" s="10" t="s">
        <v>293</v>
      </c>
      <c r="B12" s="7">
        <v>1000</v>
      </c>
      <c r="C12" s="7"/>
      <c r="D12" s="5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6.75" customHeight="1">
      <c r="A13" s="51" t="s">
        <v>294</v>
      </c>
      <c r="B13" s="7"/>
      <c r="C13" s="7"/>
      <c r="D13" s="39" t="s">
        <v>295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1" customHeight="1">
      <c r="A14" s="10" t="s">
        <v>296</v>
      </c>
      <c r="B14" s="7">
        <f>3133</f>
        <v>3133</v>
      </c>
      <c r="C14" s="7"/>
      <c r="D14" s="52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">
      <c r="A15" s="10" t="s">
        <v>297</v>
      </c>
      <c r="B15" s="7">
        <f>3133</f>
        <v>3133</v>
      </c>
      <c r="C15" s="7"/>
      <c r="D15" s="52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2" t="s">
        <v>14</v>
      </c>
      <c r="B16" s="36">
        <f>B4*0.26</f>
        <v>7556.64</v>
      </c>
      <c r="C16" s="6">
        <f>B16/25</f>
        <v>302.2656</v>
      </c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2.25" customHeight="1">
      <c r="A17" s="2" t="s">
        <v>85</v>
      </c>
      <c r="B17" s="6">
        <f>76000/12</f>
        <v>6333.333333333333</v>
      </c>
      <c r="C17" s="6">
        <f>B17/25</f>
        <v>253.33333333333331</v>
      </c>
      <c r="D17" s="7" t="s">
        <v>298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7.5" customHeight="1">
      <c r="A18" s="2" t="s">
        <v>299</v>
      </c>
      <c r="B18" s="6">
        <f>250*20</f>
        <v>5000</v>
      </c>
      <c r="C18" s="2">
        <f>B18/25</f>
        <v>200</v>
      </c>
      <c r="D18" s="7" t="s">
        <v>300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4.5" customHeight="1">
      <c r="A19" s="2" t="s">
        <v>72</v>
      </c>
      <c r="B19" s="53">
        <v>2000</v>
      </c>
      <c r="C19" s="2">
        <f>B19/25</f>
        <v>80</v>
      </c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4.75" customHeight="1">
      <c r="A20" s="2" t="s">
        <v>21</v>
      </c>
      <c r="B20" s="2">
        <v>0</v>
      </c>
      <c r="C20" s="2">
        <v>0</v>
      </c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2.5" customHeight="1">
      <c r="A21" s="2" t="s">
        <v>23</v>
      </c>
      <c r="B21" s="6"/>
      <c r="C21" s="6"/>
      <c r="D21" s="7"/>
      <c r="E21" s="1">
        <f>C22*12</f>
        <v>23977.907199999998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" customHeight="1">
      <c r="A22" s="26" t="s">
        <v>24</v>
      </c>
      <c r="B22" s="15">
        <f>B4+B16+B17+B18+B19+B20+B21</f>
        <v>49953.973333333335</v>
      </c>
      <c r="C22" s="15">
        <f>SUM(C4:C21)</f>
        <v>1998.1589333333332</v>
      </c>
      <c r="D22" s="17"/>
      <c r="E22" s="56">
        <f>B22*12*22</f>
        <v>13187848.96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9.5" customHeight="1">
      <c r="A23" s="116" t="s">
        <v>25</v>
      </c>
      <c r="B23" s="116"/>
      <c r="C23" s="116"/>
      <c r="D23" s="117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42.75" customHeight="1">
      <c r="A24" s="2" t="s">
        <v>364</v>
      </c>
      <c r="B24" s="2">
        <v>250000</v>
      </c>
      <c r="C24" s="7"/>
      <c r="D24" s="7" t="s">
        <v>363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42.75" customHeight="1">
      <c r="A25" s="2" t="s">
        <v>366</v>
      </c>
      <c r="B25" s="2">
        <v>30000</v>
      </c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42.75" customHeight="1">
      <c r="A26" s="2" t="s">
        <v>365</v>
      </c>
      <c r="B26" s="2">
        <v>100000</v>
      </c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40.5" customHeight="1">
      <c r="A27" s="2" t="s">
        <v>301</v>
      </c>
      <c r="B27" s="2">
        <v>120000</v>
      </c>
      <c r="C27" s="7"/>
      <c r="D27" s="7" t="s">
        <v>363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 customHeight="1">
      <c r="A28" s="26" t="s">
        <v>40</v>
      </c>
      <c r="B28" s="26">
        <f>SUM(B24:B27)</f>
        <v>500000</v>
      </c>
      <c r="C28" s="26"/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">
      <c r="A29" s="1"/>
      <c r="B29" s="1"/>
      <c r="C29" s="61">
        <f>B28*22</f>
        <v>11000000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59">
        <f>B22*21*12</f>
        <v>12588401.28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4.75">
      <c r="A32" s="1" t="s">
        <v>357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4.75">
      <c r="A33" s="1" t="s">
        <v>358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4.75">
      <c r="A34" s="1" t="s">
        <v>359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4.75">
      <c r="A35" s="1" t="s">
        <v>360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">
      <c r="A36" s="1" t="s">
        <v>361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4.75">
      <c r="A37" s="1" t="s">
        <v>362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mergeCells count="3">
    <mergeCell ref="A3:D3"/>
    <mergeCell ref="A23:D23"/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18"/>
  <sheetViews>
    <sheetView workbookViewId="0" topLeftCell="A1">
      <selection activeCell="H18" sqref="H18"/>
    </sheetView>
  </sheetViews>
  <sheetFormatPr defaultColWidth="9.140625" defaultRowHeight="12.75"/>
  <cols>
    <col min="9" max="9" width="13.8515625" style="0" customWidth="1"/>
  </cols>
  <sheetData>
    <row r="2" ht="12">
      <c r="B2" t="s">
        <v>367</v>
      </c>
    </row>
    <row r="3" spans="2:9" ht="12">
      <c r="B3" t="s">
        <v>368</v>
      </c>
      <c r="D3" t="s">
        <v>370</v>
      </c>
      <c r="F3">
        <v>1455</v>
      </c>
      <c r="G3" t="s">
        <v>418</v>
      </c>
      <c r="I3">
        <f>F3*3</f>
        <v>4365</v>
      </c>
    </row>
    <row r="4" spans="2:9" ht="12">
      <c r="B4" t="s">
        <v>369</v>
      </c>
      <c r="F4" s="71">
        <v>300000</v>
      </c>
      <c r="I4" s="80">
        <f>F4*33</f>
        <v>9900000</v>
      </c>
    </row>
    <row r="7" spans="2:7" ht="12">
      <c r="B7" t="s">
        <v>417</v>
      </c>
      <c r="F7" s="9">
        <f>6266</f>
        <v>6266</v>
      </c>
      <c r="G7" s="71">
        <f>F7*1.26*12</f>
        <v>94741.92</v>
      </c>
    </row>
    <row r="8" spans="2:7" ht="12">
      <c r="B8" t="s">
        <v>416</v>
      </c>
      <c r="F8">
        <v>1650</v>
      </c>
      <c r="G8" s="71">
        <f>F8*1.26*4*12</f>
        <v>99792</v>
      </c>
    </row>
    <row r="10" spans="2:7" ht="24.75">
      <c r="B10" s="10" t="s">
        <v>190</v>
      </c>
      <c r="F10" s="9">
        <f>6266</f>
        <v>6266</v>
      </c>
      <c r="G10" s="71">
        <f>F10*1.26*12</f>
        <v>94741.92</v>
      </c>
    </row>
    <row r="12" ht="12">
      <c r="B12" s="10"/>
    </row>
    <row r="14" spans="2:7" ht="12">
      <c r="B14" t="s">
        <v>178</v>
      </c>
      <c r="F14">
        <v>1200</v>
      </c>
      <c r="G14">
        <f>F14*12</f>
        <v>14400</v>
      </c>
    </row>
    <row r="15" spans="7:9" ht="12">
      <c r="G15" s="71">
        <f>SUM(G7:G14)</f>
        <v>303675.83999999997</v>
      </c>
      <c r="I15" s="80">
        <f>G15*33</f>
        <v>10021302.719999999</v>
      </c>
    </row>
    <row r="18" ht="12">
      <c r="H18" s="71">
        <f>(G10+G14)*33</f>
        <v>3601683.36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R33"/>
  <sheetViews>
    <sheetView workbookViewId="0" topLeftCell="F22">
      <selection activeCell="L17" sqref="L17:R24"/>
    </sheetView>
  </sheetViews>
  <sheetFormatPr defaultColWidth="9.140625" defaultRowHeight="12.75"/>
  <cols>
    <col min="14" max="14" width="11.28125" style="0" bestFit="1" customWidth="1"/>
  </cols>
  <sheetData>
    <row r="3" spans="2:7" ht="26.25">
      <c r="B3" s="84" t="s">
        <v>421</v>
      </c>
      <c r="C3" s="115">
        <v>2007</v>
      </c>
      <c r="D3" s="115">
        <v>2008</v>
      </c>
      <c r="E3" s="115">
        <v>2009</v>
      </c>
      <c r="F3" s="115">
        <v>2010</v>
      </c>
      <c r="G3" s="115" t="s">
        <v>423</v>
      </c>
    </row>
    <row r="4" spans="2:7" ht="13.5" thickBot="1">
      <c r="B4" s="84" t="s">
        <v>422</v>
      </c>
      <c r="C4" s="115"/>
      <c r="D4" s="115"/>
      <c r="E4" s="115"/>
      <c r="F4" s="115"/>
      <c r="G4" s="115"/>
    </row>
    <row r="5" spans="2:7" ht="53.25" thickBot="1">
      <c r="B5" s="85" t="s">
        <v>424</v>
      </c>
      <c r="C5" s="88">
        <v>10917</v>
      </c>
      <c r="D5" s="88">
        <v>16376</v>
      </c>
      <c r="E5" s="88">
        <v>16376</v>
      </c>
      <c r="F5" s="88">
        <v>16376</v>
      </c>
      <c r="G5" s="88">
        <v>16376</v>
      </c>
    </row>
    <row r="6" spans="2:7" ht="66" thickBot="1">
      <c r="B6" s="86" t="s">
        <v>425</v>
      </c>
      <c r="C6" s="88">
        <v>0</v>
      </c>
      <c r="D6" s="88">
        <v>23551</v>
      </c>
      <c r="E6" s="88">
        <v>31200</v>
      </c>
      <c r="F6" s="88">
        <v>31200</v>
      </c>
      <c r="G6" s="88">
        <v>31200</v>
      </c>
    </row>
    <row r="7" spans="2:8" ht="43.5" customHeight="1" thickBot="1">
      <c r="B7" s="86" t="s">
        <v>429</v>
      </c>
      <c r="C7" s="88">
        <f>SUM(C5:C6)+C8</f>
        <v>27479</v>
      </c>
      <c r="D7" s="88">
        <f>SUM(D5:D6)+D8</f>
        <v>56429</v>
      </c>
      <c r="E7" s="88">
        <f>SUM(E5:E6)+E8</f>
        <v>55827</v>
      </c>
      <c r="F7" s="88">
        <f>SUM(F5:F6)+F8</f>
        <v>55827</v>
      </c>
      <c r="G7" s="88">
        <f>SUM(G5:G6)+G8</f>
        <v>51702</v>
      </c>
      <c r="H7" s="71">
        <f>G7</f>
        <v>51702</v>
      </c>
    </row>
    <row r="8" spans="2:8" ht="43.5" customHeight="1" thickBot="1">
      <c r="B8" s="109" t="s">
        <v>458</v>
      </c>
      <c r="C8" s="111">
        <v>16562</v>
      </c>
      <c r="D8" s="111">
        <v>16502</v>
      </c>
      <c r="E8" s="111">
        <v>8251</v>
      </c>
      <c r="F8" s="110">
        <v>8251</v>
      </c>
      <c r="G8" s="111">
        <v>4126</v>
      </c>
      <c r="H8" s="111">
        <v>4126</v>
      </c>
    </row>
    <row r="9" spans="2:16" ht="53.25" thickBot="1">
      <c r="B9" s="86" t="s">
        <v>426</v>
      </c>
      <c r="C9" s="88">
        <v>2500</v>
      </c>
      <c r="D9" s="88">
        <v>2500</v>
      </c>
      <c r="E9" s="88">
        <v>0</v>
      </c>
      <c r="F9" s="88">
        <v>0</v>
      </c>
      <c r="G9" s="88">
        <v>0</v>
      </c>
      <c r="J9" s="89" t="s">
        <v>432</v>
      </c>
      <c r="K9" s="90">
        <v>2007</v>
      </c>
      <c r="L9" s="91">
        <v>2008</v>
      </c>
      <c r="M9" s="91">
        <v>2009</v>
      </c>
      <c r="N9" s="91">
        <v>2010</v>
      </c>
      <c r="O9" s="91">
        <v>2011</v>
      </c>
      <c r="P9" s="90">
        <v>2012</v>
      </c>
    </row>
    <row r="10" spans="2:16" ht="132" thickBot="1">
      <c r="B10" s="86" t="s">
        <v>431</v>
      </c>
      <c r="C10" s="88">
        <v>6000</v>
      </c>
      <c r="D10" s="88">
        <v>10000</v>
      </c>
      <c r="E10" s="88">
        <f>D10</f>
        <v>10000</v>
      </c>
      <c r="F10" s="88">
        <f>E10</f>
        <v>10000</v>
      </c>
      <c r="G10" s="88">
        <v>0</v>
      </c>
      <c r="J10" s="92" t="s">
        <v>433</v>
      </c>
      <c r="K10" s="93">
        <f aca="true" t="shared" si="0" ref="K10:P10">C12/1000</f>
        <v>9.2</v>
      </c>
      <c r="L10" s="93">
        <f t="shared" si="0"/>
        <v>13.9</v>
      </c>
      <c r="M10" s="93">
        <f t="shared" si="0"/>
        <v>12</v>
      </c>
      <c r="N10" s="93">
        <f t="shared" si="0"/>
        <v>11.3</v>
      </c>
      <c r="O10" s="93">
        <f t="shared" si="0"/>
        <v>0.6</v>
      </c>
      <c r="P10" s="93">
        <f t="shared" si="0"/>
        <v>0.1</v>
      </c>
    </row>
    <row r="11" spans="2:16" ht="53.25" thickBot="1">
      <c r="B11" s="86" t="s">
        <v>427</v>
      </c>
      <c r="C11" s="88">
        <v>700</v>
      </c>
      <c r="D11" s="88">
        <v>1400</v>
      </c>
      <c r="E11" s="88">
        <v>2000</v>
      </c>
      <c r="F11" s="88">
        <v>1300</v>
      </c>
      <c r="G11" s="88">
        <v>600</v>
      </c>
      <c r="J11" s="92" t="s">
        <v>434</v>
      </c>
      <c r="K11" s="93">
        <f aca="true" t="shared" si="1" ref="K11:P11">K12/1000</f>
        <v>27.479</v>
      </c>
      <c r="L11" s="93">
        <f t="shared" si="1"/>
        <v>56.429</v>
      </c>
      <c r="M11" s="93">
        <f t="shared" si="1"/>
        <v>55.827</v>
      </c>
      <c r="N11" s="93">
        <f t="shared" si="1"/>
        <v>55.827</v>
      </c>
      <c r="O11" s="93">
        <f t="shared" si="1"/>
        <v>51.702</v>
      </c>
      <c r="P11" s="93">
        <f t="shared" si="1"/>
        <v>51.702</v>
      </c>
    </row>
    <row r="12" spans="2:16" ht="66" thickBot="1">
      <c r="B12" s="86" t="s">
        <v>430</v>
      </c>
      <c r="C12" s="88">
        <f>SUM(C9:C11)</f>
        <v>9200</v>
      </c>
      <c r="D12" s="88">
        <f>SUM(D9:D11)</f>
        <v>13900</v>
      </c>
      <c r="E12" s="88">
        <f>SUM(E9:E11)</f>
        <v>12000</v>
      </c>
      <c r="F12" s="88">
        <f>SUM(F9:F11)</f>
        <v>11300</v>
      </c>
      <c r="G12" s="88">
        <f>SUM(G9:G11)</f>
        <v>600</v>
      </c>
      <c r="H12">
        <v>100</v>
      </c>
      <c r="I12">
        <v>100</v>
      </c>
      <c r="J12">
        <v>100</v>
      </c>
      <c r="K12" s="71">
        <f>C7</f>
        <v>27479</v>
      </c>
      <c r="L12" s="71">
        <f>D7</f>
        <v>56429</v>
      </c>
      <c r="M12" s="71">
        <f>E7</f>
        <v>55827</v>
      </c>
      <c r="N12" s="71">
        <f>F7</f>
        <v>55827</v>
      </c>
      <c r="O12" s="71">
        <f>G7</f>
        <v>51702</v>
      </c>
      <c r="P12" s="71">
        <f>O12</f>
        <v>51702</v>
      </c>
    </row>
    <row r="13" spans="2:10" ht="13.5" thickBot="1">
      <c r="B13" s="86" t="s">
        <v>428</v>
      </c>
      <c r="C13" s="87">
        <f aca="true" t="shared" si="2" ref="C13:H13">C7+C12</f>
        <v>36679</v>
      </c>
      <c r="D13" s="87">
        <f t="shared" si="2"/>
        <v>70329</v>
      </c>
      <c r="E13" s="87">
        <f t="shared" si="2"/>
        <v>67827</v>
      </c>
      <c r="F13" s="87">
        <f t="shared" si="2"/>
        <v>67127</v>
      </c>
      <c r="G13" s="87">
        <f t="shared" si="2"/>
        <v>52302</v>
      </c>
      <c r="H13" s="71">
        <f t="shared" si="2"/>
        <v>51802</v>
      </c>
      <c r="I13" s="71">
        <f>H13</f>
        <v>51802</v>
      </c>
      <c r="J13" s="71">
        <f>I13</f>
        <v>51802</v>
      </c>
    </row>
    <row r="14" spans="2:10" ht="15">
      <c r="B14" s="63"/>
      <c r="C14">
        <f>M24/1000</f>
        <v>36.679</v>
      </c>
      <c r="D14">
        <f>N24/1000</f>
        <v>70.329</v>
      </c>
      <c r="E14">
        <f>O24/1000</f>
        <v>67.827</v>
      </c>
      <c r="F14">
        <f>P24/1000</f>
        <v>67.127</v>
      </c>
      <c r="G14">
        <f>Q24/1000</f>
        <v>52.302</v>
      </c>
      <c r="H14">
        <f>G14</f>
        <v>52.302</v>
      </c>
      <c r="I14">
        <f>H14</f>
        <v>52.302</v>
      </c>
      <c r="J14">
        <f>I14</f>
        <v>52.302</v>
      </c>
    </row>
    <row r="16" ht="12.75" thickBot="1"/>
    <row r="17" spans="6:18" ht="39.75" thickBot="1">
      <c r="F17">
        <f>2580*0.75</f>
        <v>1935</v>
      </c>
      <c r="G17">
        <f>F17*2</f>
        <v>3870</v>
      </c>
      <c r="L17" s="107" t="s">
        <v>456</v>
      </c>
      <c r="M17" s="108">
        <v>2007</v>
      </c>
      <c r="N17" s="108">
        <v>2008</v>
      </c>
      <c r="O17" s="108">
        <v>2009</v>
      </c>
      <c r="P17" s="108">
        <v>2010</v>
      </c>
      <c r="Q17" s="108">
        <v>2011</v>
      </c>
      <c r="R17" s="108" t="s">
        <v>457</v>
      </c>
    </row>
    <row r="18" spans="2:18" ht="53.25" thickBot="1">
      <c r="B18" s="105" t="s">
        <v>421</v>
      </c>
      <c r="C18" s="103">
        <v>2007</v>
      </c>
      <c r="D18" s="103">
        <v>2008</v>
      </c>
      <c r="E18" s="103">
        <v>2009</v>
      </c>
      <c r="F18" s="103">
        <v>2010</v>
      </c>
      <c r="G18" s="103">
        <v>2011</v>
      </c>
      <c r="H18" s="103">
        <v>2012</v>
      </c>
      <c r="I18" s="103">
        <v>2013</v>
      </c>
      <c r="J18" s="103">
        <v>2014</v>
      </c>
      <c r="L18" s="109" t="s">
        <v>424</v>
      </c>
      <c r="M18" s="111">
        <v>10917</v>
      </c>
      <c r="N18" s="110">
        <v>16376</v>
      </c>
      <c r="O18" s="110">
        <v>16376</v>
      </c>
      <c r="P18" s="110">
        <v>16376</v>
      </c>
      <c r="Q18" s="110">
        <v>16376</v>
      </c>
      <c r="R18" s="110">
        <v>16376</v>
      </c>
    </row>
    <row r="19" spans="2:18" ht="66" thickBot="1">
      <c r="B19" s="105" t="s">
        <v>422</v>
      </c>
      <c r="C19" s="103"/>
      <c r="D19" s="103"/>
      <c r="E19" s="103"/>
      <c r="F19" s="103"/>
      <c r="G19" s="103"/>
      <c r="H19" s="103"/>
      <c r="L19" s="109" t="s">
        <v>425</v>
      </c>
      <c r="M19" s="110">
        <v>0</v>
      </c>
      <c r="N19" s="110">
        <f>23551</f>
        <v>23551</v>
      </c>
      <c r="O19" s="110">
        <f>31200</f>
        <v>31200</v>
      </c>
      <c r="P19" s="110">
        <f>31200</f>
        <v>31200</v>
      </c>
      <c r="Q19" s="110">
        <f>31200</f>
        <v>31200</v>
      </c>
      <c r="R19" s="110">
        <f>31200</f>
        <v>31200</v>
      </c>
    </row>
    <row r="20" spans="2:18" ht="132" thickBot="1">
      <c r="B20" s="105" t="s">
        <v>424</v>
      </c>
      <c r="C20" s="103">
        <v>10917</v>
      </c>
      <c r="D20" s="103">
        <v>16376</v>
      </c>
      <c r="E20" s="103">
        <f>D20</f>
        <v>16376</v>
      </c>
      <c r="F20" s="103">
        <f>E20</f>
        <v>16376</v>
      </c>
      <c r="G20" s="103">
        <f>F20</f>
        <v>16376</v>
      </c>
      <c r="H20" s="103">
        <f>G20</f>
        <v>16376</v>
      </c>
      <c r="L20" s="109" t="s">
        <v>459</v>
      </c>
      <c r="M20" s="111">
        <v>6000</v>
      </c>
      <c r="N20" s="110">
        <v>10000</v>
      </c>
      <c r="O20" s="110">
        <v>10000</v>
      </c>
      <c r="P20" s="110">
        <v>10000</v>
      </c>
      <c r="Q20" s="110">
        <v>0</v>
      </c>
      <c r="R20" s="112">
        <v>0</v>
      </c>
    </row>
    <row r="21" spans="2:18" ht="92.25" thickBot="1">
      <c r="B21" s="105" t="s">
        <v>425</v>
      </c>
      <c r="C21" s="103">
        <v>0</v>
      </c>
      <c r="D21" s="103" t="s">
        <v>453</v>
      </c>
      <c r="E21" s="102">
        <v>31200</v>
      </c>
      <c r="F21" s="102">
        <v>31200</v>
      </c>
      <c r="G21" s="102">
        <v>31200</v>
      </c>
      <c r="H21" s="102">
        <v>31200</v>
      </c>
      <c r="L21" s="109" t="s">
        <v>460</v>
      </c>
      <c r="M21" s="111">
        <v>2500</v>
      </c>
      <c r="N21" s="110">
        <v>2500</v>
      </c>
      <c r="O21" s="110">
        <v>0</v>
      </c>
      <c r="P21" s="110">
        <v>0</v>
      </c>
      <c r="Q21" s="110">
        <v>0</v>
      </c>
      <c r="R21" s="110">
        <v>0</v>
      </c>
    </row>
    <row r="22" spans="2:18" ht="105.75" thickBot="1">
      <c r="B22" s="105" t="s">
        <v>454</v>
      </c>
      <c r="C22" s="102">
        <f>C10</f>
        <v>6000</v>
      </c>
      <c r="D22" s="102">
        <v>10000</v>
      </c>
      <c r="E22" s="102">
        <f>D22</f>
        <v>10000</v>
      </c>
      <c r="F22" s="102">
        <f>E22</f>
        <v>10000</v>
      </c>
      <c r="G22" s="102">
        <v>0</v>
      </c>
      <c r="H22" s="9">
        <v>0</v>
      </c>
      <c r="L22" s="109" t="s">
        <v>461</v>
      </c>
      <c r="M22" s="111">
        <v>16562</v>
      </c>
      <c r="N22" s="110">
        <v>16502</v>
      </c>
      <c r="O22" s="110">
        <v>8251</v>
      </c>
      <c r="P22" s="110">
        <v>8251</v>
      </c>
      <c r="Q22" s="110">
        <v>4126</v>
      </c>
      <c r="R22" s="110">
        <v>4126</v>
      </c>
    </row>
    <row r="23" spans="2:18" ht="53.25" thickBot="1">
      <c r="B23" s="105" t="s">
        <v>426</v>
      </c>
      <c r="C23" s="103">
        <v>3500</v>
      </c>
      <c r="D23" s="103">
        <v>3500</v>
      </c>
      <c r="E23" s="103">
        <v>0</v>
      </c>
      <c r="F23" s="103">
        <v>0</v>
      </c>
      <c r="G23" s="103">
        <v>0</v>
      </c>
      <c r="H23" s="104">
        <v>0</v>
      </c>
      <c r="L23" s="109" t="s">
        <v>427</v>
      </c>
      <c r="M23" s="110">
        <v>700</v>
      </c>
      <c r="N23" s="110">
        <v>1400</v>
      </c>
      <c r="O23" s="110">
        <v>2000</v>
      </c>
      <c r="P23" s="110">
        <v>1300</v>
      </c>
      <c r="Q23" s="110">
        <v>600</v>
      </c>
      <c r="R23" s="110">
        <v>100</v>
      </c>
    </row>
    <row r="24" spans="2:18" ht="53.25" thickBot="1">
      <c r="B24" s="105" t="s">
        <v>427</v>
      </c>
      <c r="C24" s="103">
        <v>700</v>
      </c>
      <c r="D24" s="103">
        <v>1400</v>
      </c>
      <c r="E24" s="103">
        <v>2000</v>
      </c>
      <c r="F24" s="103">
        <v>1300</v>
      </c>
      <c r="G24" s="103">
        <v>600</v>
      </c>
      <c r="H24" s="104">
        <v>0</v>
      </c>
      <c r="L24" s="109" t="s">
        <v>428</v>
      </c>
      <c r="M24" s="111">
        <f aca="true" t="shared" si="3" ref="M24:R24">SUM(M18:M23)</f>
        <v>36679</v>
      </c>
      <c r="N24" s="111">
        <f t="shared" si="3"/>
        <v>70329</v>
      </c>
      <c r="O24" s="111">
        <f t="shared" si="3"/>
        <v>67827</v>
      </c>
      <c r="P24" s="111">
        <f t="shared" si="3"/>
        <v>67127</v>
      </c>
      <c r="Q24" s="111">
        <f t="shared" si="3"/>
        <v>52302</v>
      </c>
      <c r="R24" s="111">
        <f t="shared" si="3"/>
        <v>51802</v>
      </c>
    </row>
    <row r="25" spans="2:12" ht="15">
      <c r="B25" s="105" t="s">
        <v>428</v>
      </c>
      <c r="C25" s="103">
        <f aca="true" t="shared" si="4" ref="C25:H25">SUM(C20:C24)</f>
        <v>21117</v>
      </c>
      <c r="D25" s="103">
        <f t="shared" si="4"/>
        <v>31276</v>
      </c>
      <c r="E25" s="103">
        <f t="shared" si="4"/>
        <v>59576</v>
      </c>
      <c r="F25" s="103">
        <f t="shared" si="4"/>
        <v>58876</v>
      </c>
      <c r="G25" s="103">
        <f t="shared" si="4"/>
        <v>48176</v>
      </c>
      <c r="H25" s="103">
        <f t="shared" si="4"/>
        <v>47576</v>
      </c>
      <c r="I25" s="106">
        <f>H25</f>
        <v>47576</v>
      </c>
      <c r="J25" s="106">
        <f>I25</f>
        <v>47576</v>
      </c>
      <c r="L25" s="113"/>
    </row>
    <row r="26" spans="2:18" ht="15">
      <c r="B26" s="63"/>
      <c r="C26">
        <f>C25/1000</f>
        <v>21.117</v>
      </c>
      <c r="D26">
        <f aca="true" t="shared" si="5" ref="D26:J26">D25/1000</f>
        <v>31.276</v>
      </c>
      <c r="E26">
        <f t="shared" si="5"/>
        <v>59.576</v>
      </c>
      <c r="F26">
        <f t="shared" si="5"/>
        <v>58.876</v>
      </c>
      <c r="G26">
        <f t="shared" si="5"/>
        <v>48.176</v>
      </c>
      <c r="H26">
        <f t="shared" si="5"/>
        <v>47.576</v>
      </c>
      <c r="I26">
        <f t="shared" si="5"/>
        <v>47.576</v>
      </c>
      <c r="J26">
        <f t="shared" si="5"/>
        <v>47.576</v>
      </c>
      <c r="M26" s="71">
        <f aca="true" t="shared" si="6" ref="M26:R26">M22-$Q$22</f>
        <v>12436</v>
      </c>
      <c r="N26" s="71">
        <f t="shared" si="6"/>
        <v>12376</v>
      </c>
      <c r="O26" s="71">
        <f t="shared" si="6"/>
        <v>4125</v>
      </c>
      <c r="P26" s="71">
        <f t="shared" si="6"/>
        <v>4125</v>
      </c>
      <c r="Q26" s="71">
        <f t="shared" si="6"/>
        <v>0</v>
      </c>
      <c r="R26" s="71">
        <f t="shared" si="6"/>
        <v>0</v>
      </c>
    </row>
    <row r="28" ht="12">
      <c r="N28" s="80">
        <f>80000000/25</f>
        <v>3200000</v>
      </c>
    </row>
    <row r="30" ht="12">
      <c r="N30" s="80">
        <f>78000000/25</f>
        <v>3120000</v>
      </c>
    </row>
    <row r="33" ht="12">
      <c r="N33">
        <f>2.7/25</f>
        <v>0.10800000000000001</v>
      </c>
    </row>
  </sheetData>
  <mergeCells count="5">
    <mergeCell ref="G3:G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">
      <selection activeCell="E17" sqref="E17"/>
    </sheetView>
  </sheetViews>
  <sheetFormatPr defaultColWidth="9.140625" defaultRowHeight="12.75"/>
  <cols>
    <col min="2" max="2" width="8.8515625" style="95" customWidth="1"/>
    <col min="3" max="3" width="16.57421875" style="0" customWidth="1"/>
    <col min="6" max="6" width="18.28125" style="0" customWidth="1"/>
    <col min="8" max="8" width="12.00390625" style="0" customWidth="1"/>
  </cols>
  <sheetData>
    <row r="2" ht="12.75" thickBot="1"/>
    <row r="3" spans="1:8" ht="42.75" thickBot="1">
      <c r="A3" s="64"/>
      <c r="B3" s="96">
        <v>1</v>
      </c>
      <c r="C3" s="65" t="s">
        <v>391</v>
      </c>
      <c r="D3" s="66" t="s">
        <v>392</v>
      </c>
      <c r="E3" s="66" t="s">
        <v>393</v>
      </c>
      <c r="F3" s="66" t="s">
        <v>394</v>
      </c>
      <c r="G3" s="66" t="s">
        <v>395</v>
      </c>
      <c r="H3" s="66" t="s">
        <v>381</v>
      </c>
    </row>
    <row r="4" spans="2:8" ht="33.75" customHeight="1" thickBot="1">
      <c r="B4" s="94" t="s">
        <v>436</v>
      </c>
      <c r="C4" s="101" t="s">
        <v>396</v>
      </c>
      <c r="D4" s="68">
        <v>30</v>
      </c>
      <c r="E4" s="68">
        <f>D4*23</f>
        <v>690</v>
      </c>
      <c r="F4" s="68" t="s">
        <v>449</v>
      </c>
      <c r="G4" s="68">
        <v>12</v>
      </c>
      <c r="H4" s="68" t="s">
        <v>397</v>
      </c>
    </row>
    <row r="5" spans="2:8" ht="54.75" customHeight="1" thickBot="1">
      <c r="B5" s="97" t="s">
        <v>437</v>
      </c>
      <c r="C5" s="69" t="s">
        <v>446</v>
      </c>
      <c r="D5" s="70">
        <v>21</v>
      </c>
      <c r="E5" s="70">
        <v>462</v>
      </c>
      <c r="F5" s="70" t="s">
        <v>398</v>
      </c>
      <c r="G5" s="72">
        <v>16400</v>
      </c>
      <c r="H5" s="70" t="s">
        <v>399</v>
      </c>
    </row>
    <row r="6" spans="2:8" ht="43.5" customHeight="1" thickBot="1">
      <c r="B6" s="97" t="s">
        <v>438</v>
      </c>
      <c r="C6" s="69" t="s">
        <v>447</v>
      </c>
      <c r="D6" s="70">
        <v>45</v>
      </c>
      <c r="E6" s="70">
        <v>365</v>
      </c>
      <c r="F6" s="70" t="s">
        <v>400</v>
      </c>
      <c r="G6" s="72">
        <v>2383</v>
      </c>
      <c r="H6" s="70" t="s">
        <v>401</v>
      </c>
    </row>
    <row r="7" spans="2:8" ht="33" customHeight="1" thickBot="1">
      <c r="B7" s="97" t="s">
        <v>439</v>
      </c>
      <c r="C7" s="69" t="s">
        <v>402</v>
      </c>
      <c r="D7" s="70">
        <v>111.4</v>
      </c>
      <c r="E7" s="72">
        <f>D7*23</f>
        <v>2562.2000000000003</v>
      </c>
      <c r="F7" s="70" t="s">
        <v>450</v>
      </c>
      <c r="G7" s="72">
        <v>13363</v>
      </c>
      <c r="H7" s="70" t="s">
        <v>403</v>
      </c>
    </row>
    <row r="8" spans="2:8" ht="36.75" customHeight="1" thickBot="1">
      <c r="B8" s="97" t="s">
        <v>440</v>
      </c>
      <c r="C8" s="69" t="s">
        <v>404</v>
      </c>
      <c r="D8" s="70">
        <v>111.4</v>
      </c>
      <c r="E8" s="72">
        <v>2340</v>
      </c>
      <c r="F8" s="70" t="s">
        <v>405</v>
      </c>
      <c r="G8" s="72">
        <v>12950</v>
      </c>
      <c r="H8" s="70" t="s">
        <v>406</v>
      </c>
    </row>
    <row r="9" spans="2:8" ht="12.75" thickBot="1">
      <c r="B9" s="98">
        <v>2</v>
      </c>
      <c r="C9" s="73" t="s">
        <v>407</v>
      </c>
      <c r="D9" s="74"/>
      <c r="E9" s="74"/>
      <c r="F9" s="74"/>
      <c r="G9" s="74"/>
      <c r="H9" s="74"/>
    </row>
    <row r="10" spans="2:8" ht="42" customHeight="1" thickBot="1">
      <c r="B10" s="97" t="s">
        <v>441</v>
      </c>
      <c r="C10" s="69" t="s">
        <v>448</v>
      </c>
      <c r="D10" s="70">
        <v>177</v>
      </c>
      <c r="E10" s="70">
        <v>7126</v>
      </c>
      <c r="F10" s="70" t="s">
        <v>435</v>
      </c>
      <c r="G10" s="72">
        <v>4399</v>
      </c>
      <c r="H10" s="70" t="s">
        <v>445</v>
      </c>
    </row>
    <row r="11" spans="2:8" ht="42.75" thickBot="1">
      <c r="B11" s="97" t="s">
        <v>442</v>
      </c>
      <c r="C11" s="69" t="s">
        <v>408</v>
      </c>
      <c r="D11" s="70">
        <v>96</v>
      </c>
      <c r="E11" s="70">
        <v>6441</v>
      </c>
      <c r="F11" s="70" t="s">
        <v>451</v>
      </c>
      <c r="G11" s="72">
        <v>65732</v>
      </c>
      <c r="H11" s="70" t="s">
        <v>451</v>
      </c>
    </row>
    <row r="12" spans="2:10" ht="12.75" thickBot="1">
      <c r="B12" s="97"/>
      <c r="C12" s="73" t="s">
        <v>409</v>
      </c>
      <c r="E12" s="83">
        <f>SUM(E5:E11)</f>
        <v>19296.2</v>
      </c>
      <c r="F12" s="83"/>
      <c r="G12" s="82">
        <f>SUM(G5:G11)</f>
        <v>115227</v>
      </c>
      <c r="H12" s="70"/>
      <c r="J12">
        <f>G12/20000</f>
        <v>5.76135</v>
      </c>
    </row>
    <row r="13" spans="2:8" ht="12.75" thickBot="1">
      <c r="B13" s="99">
        <v>3</v>
      </c>
      <c r="C13" s="75" t="s">
        <v>410</v>
      </c>
      <c r="D13" s="76"/>
      <c r="E13" s="76"/>
      <c r="F13" s="76"/>
      <c r="G13" s="76"/>
      <c r="H13" s="76"/>
    </row>
    <row r="14" spans="2:8" ht="12.75" thickBot="1">
      <c r="B14" s="94" t="s">
        <v>443</v>
      </c>
      <c r="C14" s="67" t="s">
        <v>411</v>
      </c>
      <c r="D14" s="68">
        <v>500</v>
      </c>
      <c r="E14" s="77">
        <v>11000</v>
      </c>
      <c r="F14" s="68" t="s">
        <v>419</v>
      </c>
      <c r="G14" s="81">
        <v>13187</v>
      </c>
      <c r="H14" s="68" t="s">
        <v>412</v>
      </c>
    </row>
    <row r="15" spans="2:8" ht="12.75" thickBot="1">
      <c r="B15" s="99">
        <v>4</v>
      </c>
      <c r="C15" s="75" t="s">
        <v>413</v>
      </c>
      <c r="D15" s="76"/>
      <c r="E15" s="76"/>
      <c r="F15" s="76"/>
      <c r="G15" s="76"/>
      <c r="H15" s="76"/>
    </row>
    <row r="16" spans="2:8" ht="12.75" thickBot="1">
      <c r="B16" s="94" t="s">
        <v>444</v>
      </c>
      <c r="C16" s="78"/>
      <c r="D16" s="68">
        <v>150</v>
      </c>
      <c r="E16" s="77">
        <v>4950</v>
      </c>
      <c r="F16" s="68" t="s">
        <v>387</v>
      </c>
      <c r="G16" s="81">
        <v>3600</v>
      </c>
      <c r="H16" s="68" t="s">
        <v>414</v>
      </c>
    </row>
    <row r="17" spans="2:10" ht="34.5" customHeight="1" thickBot="1">
      <c r="B17" s="94"/>
      <c r="C17" s="67" t="s">
        <v>415</v>
      </c>
      <c r="D17" s="68"/>
      <c r="E17" s="79">
        <f>E12+E4+E14+E16</f>
        <v>35936.2</v>
      </c>
      <c r="F17" s="68"/>
      <c r="G17" s="81">
        <f>G12+G14+G16+G4*1000</f>
        <v>144014</v>
      </c>
      <c r="H17" s="68" t="s">
        <v>420</v>
      </c>
      <c r="J17">
        <f>G17/20000</f>
        <v>7.2007</v>
      </c>
    </row>
    <row r="20" ht="12">
      <c r="B20" s="10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2" sqref="C2:C10"/>
    </sheetView>
  </sheetViews>
  <sheetFormatPr defaultColWidth="9.140625" defaultRowHeight="12.75"/>
  <cols>
    <col min="1" max="1" width="40.140625" style="0" customWidth="1"/>
    <col min="2" max="2" width="13.7109375" style="0" customWidth="1"/>
    <col min="4" max="4" width="13.00390625" style="0" customWidth="1"/>
  </cols>
  <sheetData>
    <row r="1" spans="2:4" ht="12">
      <c r="B1" t="s">
        <v>372</v>
      </c>
      <c r="C1" t="s">
        <v>380</v>
      </c>
      <c r="D1" t="s">
        <v>381</v>
      </c>
    </row>
    <row r="2" spans="1:4" ht="12">
      <c r="A2" t="s">
        <v>371</v>
      </c>
      <c r="B2">
        <v>1.25</v>
      </c>
      <c r="C2">
        <f>B2*23</f>
        <v>28.75</v>
      </c>
      <c r="D2" t="s">
        <v>449</v>
      </c>
    </row>
    <row r="3" spans="1:4" ht="12">
      <c r="A3" t="s">
        <v>373</v>
      </c>
      <c r="B3">
        <v>1.25</v>
      </c>
      <c r="C3">
        <f>B3*22</f>
        <v>27.5</v>
      </c>
      <c r="D3" t="s">
        <v>382</v>
      </c>
    </row>
    <row r="4" spans="1:4" ht="12">
      <c r="A4" t="s">
        <v>374</v>
      </c>
      <c r="B4">
        <v>2.25</v>
      </c>
      <c r="C4">
        <f>B4*8</f>
        <v>18</v>
      </c>
      <c r="D4" t="s">
        <v>383</v>
      </c>
    </row>
    <row r="5" spans="1:4" ht="12">
      <c r="A5" t="s">
        <v>379</v>
      </c>
      <c r="B5">
        <v>4</v>
      </c>
      <c r="C5">
        <f>B5*23</f>
        <v>92</v>
      </c>
      <c r="D5" t="s">
        <v>449</v>
      </c>
    </row>
    <row r="6" spans="1:4" ht="12">
      <c r="A6" t="s">
        <v>377</v>
      </c>
      <c r="B6">
        <v>4</v>
      </c>
      <c r="C6">
        <f>B6*23</f>
        <v>92</v>
      </c>
      <c r="D6" t="s">
        <v>449</v>
      </c>
    </row>
    <row r="7" spans="1:4" ht="12">
      <c r="A7" t="s">
        <v>388</v>
      </c>
      <c r="B7">
        <v>2</v>
      </c>
      <c r="C7">
        <f>B7*40</f>
        <v>80</v>
      </c>
      <c r="D7" t="s">
        <v>384</v>
      </c>
    </row>
    <row r="8" spans="1:4" ht="12">
      <c r="A8" t="s">
        <v>389</v>
      </c>
      <c r="B8">
        <v>3.75</v>
      </c>
      <c r="C8">
        <f>B8*70</f>
        <v>262.5</v>
      </c>
      <c r="D8" t="s">
        <v>385</v>
      </c>
    </row>
    <row r="9" spans="1:4" ht="12">
      <c r="A9" t="s">
        <v>378</v>
      </c>
      <c r="B9">
        <v>3</v>
      </c>
      <c r="C9">
        <f>B9*22</f>
        <v>66</v>
      </c>
      <c r="D9" t="s">
        <v>386</v>
      </c>
    </row>
    <row r="10" spans="1:4" ht="12">
      <c r="A10" t="s">
        <v>390</v>
      </c>
      <c r="B10">
        <v>1</v>
      </c>
      <c r="C10">
        <f>B10*33</f>
        <v>33</v>
      </c>
      <c r="D10" t="s">
        <v>387</v>
      </c>
    </row>
    <row r="13" ht="12">
      <c r="C13">
        <f>20000/SUM(C3:C8)</f>
        <v>34.96503496503497</v>
      </c>
    </row>
    <row r="17" spans="1:3" ht="12">
      <c r="A17" s="62" t="s">
        <v>376</v>
      </c>
      <c r="B17">
        <v>3</v>
      </c>
      <c r="C17">
        <f>B17*18</f>
        <v>54</v>
      </c>
    </row>
    <row r="18" spans="1:3" ht="12">
      <c r="A18" s="62" t="s">
        <v>375</v>
      </c>
      <c r="B18">
        <v>3</v>
      </c>
      <c r="C18">
        <f>B18*18</f>
        <v>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5"/>
  <sheetViews>
    <sheetView workbookViewId="0" topLeftCell="A1">
      <selection activeCell="B20" sqref="B20"/>
    </sheetView>
  </sheetViews>
  <sheetFormatPr defaultColWidth="9.140625" defaultRowHeight="12.75"/>
  <cols>
    <col min="1" max="1" width="41.7109375" style="0" customWidth="1"/>
    <col min="2" max="2" width="17.7109375" style="0" customWidth="1"/>
    <col min="3" max="3" width="15.00390625" style="0" customWidth="1"/>
    <col min="4" max="4" width="34.7109375" style="0" customWidth="1"/>
  </cols>
  <sheetData>
    <row r="1" spans="1:11" ht="12.75">
      <c r="A1" s="118" t="s">
        <v>0</v>
      </c>
      <c r="B1" s="118"/>
      <c r="C1" s="118"/>
      <c r="D1" s="118"/>
      <c r="E1" s="118"/>
      <c r="F1" s="1"/>
      <c r="G1" s="1"/>
      <c r="H1" s="1"/>
      <c r="I1" s="1"/>
      <c r="J1" s="1"/>
      <c r="K1" s="1"/>
    </row>
    <row r="2" spans="1:11" ht="12.75">
      <c r="A2" s="119" t="s">
        <v>1</v>
      </c>
      <c r="B2" s="120"/>
      <c r="C2" s="120"/>
      <c r="D2" s="120"/>
      <c r="E2" s="121"/>
      <c r="F2" s="1"/>
      <c r="G2" s="1"/>
      <c r="H2" s="1"/>
      <c r="I2" s="1"/>
      <c r="J2" s="1"/>
      <c r="K2" s="1"/>
    </row>
    <row r="3" spans="1:11" ht="25.5">
      <c r="A3" s="2" t="s">
        <v>2</v>
      </c>
      <c r="B3" s="3" t="s">
        <v>452</v>
      </c>
      <c r="C3" s="3" t="s">
        <v>4</v>
      </c>
      <c r="D3" s="4" t="s">
        <v>5</v>
      </c>
      <c r="E3" s="22"/>
      <c r="F3" s="1"/>
      <c r="G3" s="1"/>
      <c r="H3" s="1"/>
      <c r="I3" s="1"/>
      <c r="J3" s="1"/>
      <c r="K3" s="1"/>
    </row>
    <row r="4" spans="1:11" ht="17.25" customHeight="1">
      <c r="A4" s="116" t="s">
        <v>6</v>
      </c>
      <c r="B4" s="116"/>
      <c r="C4" s="116"/>
      <c r="D4" s="117"/>
      <c r="E4" s="1"/>
      <c r="F4" s="1"/>
      <c r="G4" s="1"/>
      <c r="H4" s="1"/>
      <c r="I4" s="1"/>
      <c r="J4" s="1"/>
      <c r="K4" s="1"/>
    </row>
    <row r="5" spans="1:11" ht="12.75">
      <c r="A5" s="5" t="s">
        <v>7</v>
      </c>
      <c r="B5" s="6">
        <f>SUM(B6:B9)</f>
        <v>8423.5</v>
      </c>
      <c r="C5" s="6">
        <f>B5/25</f>
        <v>336.94</v>
      </c>
      <c r="D5" s="7"/>
      <c r="E5" s="1"/>
      <c r="F5" s="1"/>
      <c r="G5" s="1"/>
      <c r="H5" s="1"/>
      <c r="I5" s="1"/>
      <c r="J5" s="1"/>
      <c r="K5" s="1"/>
    </row>
    <row r="6" spans="1:11" ht="27" customHeight="1">
      <c r="A6" s="8" t="s">
        <v>8</v>
      </c>
      <c r="B6" s="7">
        <f>7200*0.5</f>
        <v>3600</v>
      </c>
      <c r="C6" s="7"/>
      <c r="D6" s="7" t="s">
        <v>9</v>
      </c>
      <c r="E6" s="1"/>
      <c r="F6" s="1"/>
      <c r="G6" s="1"/>
      <c r="H6" s="1"/>
      <c r="I6" s="1"/>
      <c r="J6" s="1"/>
      <c r="K6" s="1"/>
    </row>
    <row r="7" spans="1:11" ht="17.25" customHeight="1">
      <c r="A7" s="10" t="s">
        <v>10</v>
      </c>
      <c r="B7" s="11">
        <f>6266*0.25</f>
        <v>1566.5</v>
      </c>
      <c r="C7" s="7"/>
      <c r="D7" s="7" t="s">
        <v>11</v>
      </c>
      <c r="E7" s="1"/>
      <c r="F7" s="1"/>
      <c r="G7" s="1"/>
      <c r="H7" s="1"/>
      <c r="I7" s="1"/>
      <c r="J7" s="1"/>
      <c r="K7" s="1"/>
    </row>
    <row r="8" spans="1:11" ht="28.5" customHeight="1">
      <c r="A8" s="10" t="s">
        <v>12</v>
      </c>
      <c r="B8" s="11">
        <f>6762*0.25</f>
        <v>1690.5</v>
      </c>
      <c r="C8" s="7"/>
      <c r="D8" s="7" t="s">
        <v>11</v>
      </c>
      <c r="E8" s="1"/>
      <c r="F8" s="1"/>
      <c r="G8" s="1"/>
      <c r="H8" s="1"/>
      <c r="I8" s="1"/>
      <c r="J8" s="1"/>
      <c r="K8" s="1"/>
    </row>
    <row r="9" spans="1:11" ht="19.5" customHeight="1">
      <c r="A9" s="10" t="s">
        <v>13</v>
      </c>
      <c r="B9" s="11">
        <f>6266*0.25</f>
        <v>1566.5</v>
      </c>
      <c r="C9" s="7"/>
      <c r="D9" s="7" t="s">
        <v>11</v>
      </c>
      <c r="E9" s="1"/>
      <c r="F9" s="1"/>
      <c r="G9" s="1"/>
      <c r="H9" s="1"/>
      <c r="I9" s="1"/>
      <c r="J9" s="1"/>
      <c r="K9" s="1"/>
    </row>
    <row r="10" spans="1:11" ht="17.25" customHeight="1">
      <c r="A10" s="12" t="s">
        <v>14</v>
      </c>
      <c r="B10" s="13">
        <f>B5*0.26</f>
        <v>2190.11</v>
      </c>
      <c r="C10" s="6">
        <f>B10/25</f>
        <v>87.6044</v>
      </c>
      <c r="D10" s="7"/>
      <c r="E10" s="1"/>
      <c r="F10" s="1"/>
      <c r="G10" s="1"/>
      <c r="H10" s="1"/>
      <c r="I10" s="1"/>
      <c r="J10" s="1"/>
      <c r="K10" s="1"/>
    </row>
    <row r="11" spans="1:11" ht="24" customHeight="1">
      <c r="A11" s="2" t="s">
        <v>15</v>
      </c>
      <c r="B11" s="2">
        <f>300*25</f>
        <v>7500</v>
      </c>
      <c r="C11" s="2">
        <v>300</v>
      </c>
      <c r="D11" s="7" t="s">
        <v>16</v>
      </c>
      <c r="E11" s="1"/>
      <c r="F11" s="1"/>
      <c r="G11" s="1"/>
      <c r="H11" s="1"/>
      <c r="I11" s="1"/>
      <c r="J11" s="1"/>
      <c r="K11" s="1"/>
    </row>
    <row r="12" spans="1:11" ht="20.25" customHeight="1">
      <c r="A12" s="2" t="s">
        <v>17</v>
      </c>
      <c r="B12" s="2">
        <v>4000</v>
      </c>
      <c r="C12" s="2">
        <f>B12/25</f>
        <v>160</v>
      </c>
      <c r="D12" s="7" t="s">
        <v>18</v>
      </c>
      <c r="E12" s="1"/>
      <c r="F12" s="1"/>
      <c r="G12" s="1"/>
      <c r="H12" s="1"/>
      <c r="I12" s="1"/>
      <c r="J12" s="1"/>
      <c r="K12" s="1"/>
    </row>
    <row r="13" spans="1:11" ht="21.75" customHeight="1">
      <c r="A13" s="2" t="s">
        <v>19</v>
      </c>
      <c r="B13" s="2">
        <f>30000/12</f>
        <v>2500</v>
      </c>
      <c r="C13" s="2">
        <f>B13/25</f>
        <v>100</v>
      </c>
      <c r="D13" s="7" t="s">
        <v>20</v>
      </c>
      <c r="E13" s="1"/>
      <c r="F13" s="1"/>
      <c r="G13" s="1"/>
      <c r="H13" s="1"/>
      <c r="I13" s="1"/>
      <c r="J13" s="1"/>
      <c r="K13" s="1"/>
    </row>
    <row r="14" spans="1:11" ht="24" customHeight="1">
      <c r="A14" s="2" t="s">
        <v>21</v>
      </c>
      <c r="B14" s="2">
        <v>0</v>
      </c>
      <c r="C14" s="2">
        <f>B14/25</f>
        <v>0</v>
      </c>
      <c r="D14" s="7" t="s">
        <v>22</v>
      </c>
      <c r="E14" s="1"/>
      <c r="F14" s="1"/>
      <c r="G14" s="1"/>
      <c r="H14" s="1"/>
      <c r="I14" s="1"/>
      <c r="J14" s="1"/>
      <c r="K14" s="1"/>
    </row>
    <row r="15" spans="1:11" ht="18" customHeight="1">
      <c r="A15" s="14" t="s">
        <v>23</v>
      </c>
      <c r="B15" s="6">
        <f>(B21*0.056)/12</f>
        <v>51.800000000000004</v>
      </c>
      <c r="C15" s="6">
        <f>B15/25</f>
        <v>2.072</v>
      </c>
      <c r="D15" s="7"/>
      <c r="E15" s="1"/>
      <c r="F15" s="1"/>
      <c r="G15" s="1"/>
      <c r="H15" s="1"/>
      <c r="I15" s="1"/>
      <c r="J15" s="1"/>
      <c r="K15" s="1"/>
    </row>
    <row r="16" spans="1:11" ht="22.5" customHeight="1">
      <c r="A16" s="21" t="s">
        <v>24</v>
      </c>
      <c r="B16" s="15">
        <f>B5+B10+B11+B12+B13+B14+B15</f>
        <v>24665.41</v>
      </c>
      <c r="C16" s="16">
        <f>B16/25</f>
        <v>986.6164</v>
      </c>
      <c r="D16" s="17"/>
      <c r="E16" s="1"/>
      <c r="F16" s="1"/>
      <c r="G16" s="1"/>
      <c r="H16" s="1"/>
      <c r="I16" s="1"/>
      <c r="J16" s="1"/>
      <c r="K16" s="1"/>
    </row>
    <row r="17" spans="1:11" ht="22.5" customHeight="1">
      <c r="A17" s="116" t="s">
        <v>25</v>
      </c>
      <c r="B17" s="116"/>
      <c r="C17" s="116"/>
      <c r="D17" s="117"/>
      <c r="E17" s="1"/>
      <c r="F17" s="1"/>
      <c r="G17" s="1"/>
      <c r="H17" s="1"/>
      <c r="I17" s="1"/>
      <c r="J17" s="1"/>
      <c r="K17" s="1"/>
    </row>
    <row r="18" spans="1:11" ht="27.75">
      <c r="A18" s="2" t="s">
        <v>26</v>
      </c>
      <c r="B18" s="6">
        <f>813.84*3</f>
        <v>2441.52</v>
      </c>
      <c r="C18" s="7"/>
      <c r="D18" s="7" t="s">
        <v>27</v>
      </c>
      <c r="E18" s="1"/>
      <c r="F18" s="1"/>
      <c r="G18" s="1"/>
      <c r="H18" s="1"/>
      <c r="I18" s="1"/>
      <c r="J18" s="1"/>
      <c r="K18" s="1"/>
    </row>
    <row r="19" spans="1:11" ht="15">
      <c r="A19" s="2" t="s">
        <v>28</v>
      </c>
      <c r="B19" s="6">
        <f>814*0.9</f>
        <v>732.6</v>
      </c>
      <c r="C19" s="7"/>
      <c r="D19" s="7" t="s">
        <v>29</v>
      </c>
      <c r="E19" s="1"/>
      <c r="F19" s="1"/>
      <c r="G19" s="1"/>
      <c r="H19" s="1"/>
      <c r="I19" s="1"/>
      <c r="J19" s="1"/>
      <c r="K19" s="1"/>
    </row>
    <row r="20" spans="1:11" ht="57" customHeight="1">
      <c r="A20" s="2" t="s">
        <v>30</v>
      </c>
      <c r="B20" s="2">
        <f>((300*3)+(9*500*3)+(120*3)+1000)</f>
        <v>15760</v>
      </c>
      <c r="C20" s="7"/>
      <c r="D20" s="7" t="s">
        <v>31</v>
      </c>
      <c r="E20" s="1"/>
      <c r="F20" s="1"/>
      <c r="G20" s="1"/>
      <c r="H20" s="1"/>
      <c r="I20" s="1"/>
      <c r="J20" s="1"/>
      <c r="K20" s="1"/>
    </row>
    <row r="21" spans="1:11" ht="54.75" customHeight="1">
      <c r="A21" s="2" t="s">
        <v>32</v>
      </c>
      <c r="B21" s="2">
        <f>SUM(B22:B25)</f>
        <v>11100</v>
      </c>
      <c r="C21" s="7"/>
      <c r="D21" s="18" t="s">
        <v>33</v>
      </c>
      <c r="E21" s="1"/>
      <c r="F21" s="1"/>
      <c r="G21" s="1"/>
      <c r="H21" s="1"/>
      <c r="I21" s="1"/>
      <c r="J21" s="1"/>
      <c r="K21" s="1"/>
    </row>
    <row r="22" spans="1:11" ht="57.75" customHeight="1">
      <c r="A22" s="10" t="s">
        <v>34</v>
      </c>
      <c r="B22" s="19">
        <f>100*20</f>
        <v>2000</v>
      </c>
      <c r="C22" s="7"/>
      <c r="D22" s="7" t="s">
        <v>35</v>
      </c>
      <c r="E22" s="1"/>
      <c r="F22" s="1"/>
      <c r="G22" s="1"/>
      <c r="H22" s="1"/>
      <c r="I22" s="1"/>
      <c r="J22" s="1"/>
      <c r="K22" s="1"/>
    </row>
    <row r="23" spans="1:11" ht="33.75" customHeight="1">
      <c r="A23" s="10" t="s">
        <v>36</v>
      </c>
      <c r="B23" s="19">
        <v>7000</v>
      </c>
      <c r="C23" s="7"/>
      <c r="D23" s="7" t="s">
        <v>37</v>
      </c>
      <c r="E23" s="1"/>
      <c r="F23" s="1"/>
      <c r="G23" s="1"/>
      <c r="H23" s="1"/>
      <c r="I23" s="1"/>
      <c r="J23" s="1"/>
      <c r="K23" s="1"/>
    </row>
    <row r="24" spans="1:11" ht="13.5" customHeight="1">
      <c r="A24" s="10" t="s">
        <v>38</v>
      </c>
      <c r="B24" s="19">
        <f>600*2</f>
        <v>1200</v>
      </c>
      <c r="C24" s="7"/>
      <c r="D24" s="7"/>
      <c r="E24" s="1"/>
      <c r="F24" s="1"/>
      <c r="G24" s="1"/>
      <c r="H24" s="1"/>
      <c r="I24" s="1"/>
      <c r="J24" s="1"/>
      <c r="K24" s="1"/>
    </row>
    <row r="25" spans="1:11" ht="15" customHeight="1">
      <c r="A25" s="10" t="s">
        <v>39</v>
      </c>
      <c r="B25" s="19">
        <f>300*3</f>
        <v>900</v>
      </c>
      <c r="C25" s="7"/>
      <c r="D25" s="7"/>
      <c r="E25" s="1"/>
      <c r="F25" s="1"/>
      <c r="G25" s="1"/>
      <c r="H25" s="1"/>
      <c r="I25" s="1"/>
      <c r="J25" s="1"/>
      <c r="K25" s="1"/>
    </row>
    <row r="26" spans="1:11" ht="27" customHeight="1">
      <c r="A26" s="23" t="s">
        <v>40</v>
      </c>
      <c r="B26" s="20">
        <f>SUM(B18:B21)</f>
        <v>30034.12</v>
      </c>
      <c r="C26" s="17"/>
      <c r="D26" s="17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55">
        <f>B16*21*12</f>
        <v>6215683.32</v>
      </c>
      <c r="C28" s="1">
        <f>B26*22</f>
        <v>660750.64</v>
      </c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</sheetData>
  <mergeCells count="4">
    <mergeCell ref="A17:D17"/>
    <mergeCell ref="A1:E1"/>
    <mergeCell ref="A2:E2"/>
    <mergeCell ref="A4:D4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7"/>
  <sheetViews>
    <sheetView workbookViewId="0" topLeftCell="A1">
      <selection activeCell="A1" sqref="A1:F1"/>
    </sheetView>
  </sheetViews>
  <sheetFormatPr defaultColWidth="9.140625" defaultRowHeight="12.75"/>
  <cols>
    <col min="1" max="1" width="42.8515625" style="0" customWidth="1"/>
    <col min="2" max="2" width="18.421875" style="0" customWidth="1"/>
    <col min="3" max="4" width="14.7109375" style="0" customWidth="1"/>
    <col min="5" max="5" width="32.7109375" style="0" customWidth="1"/>
    <col min="6" max="6" width="11.421875" style="0" bestFit="1" customWidth="1"/>
  </cols>
  <sheetData>
    <row r="1" spans="1:12" ht="31.5" customHeight="1">
      <c r="A1" s="122" t="s">
        <v>41</v>
      </c>
      <c r="B1" s="123"/>
      <c r="C1" s="123"/>
      <c r="D1" s="123"/>
      <c r="E1" s="123"/>
      <c r="F1" s="124"/>
      <c r="G1" s="1"/>
      <c r="H1" s="1"/>
      <c r="I1" s="1"/>
      <c r="J1" s="1"/>
      <c r="K1" s="1"/>
      <c r="L1" s="1"/>
    </row>
    <row r="2" spans="1:12" ht="41.25" customHeight="1">
      <c r="A2" s="24" t="s">
        <v>2</v>
      </c>
      <c r="B2" s="3" t="s">
        <v>3</v>
      </c>
      <c r="C2" s="3" t="s">
        <v>42</v>
      </c>
      <c r="D2" s="57" t="s">
        <v>304</v>
      </c>
      <c r="E2" s="27" t="s">
        <v>5</v>
      </c>
      <c r="F2" s="22"/>
      <c r="G2" s="1"/>
      <c r="H2" s="1"/>
      <c r="I2" s="1"/>
      <c r="J2" s="1"/>
      <c r="K2" s="1"/>
      <c r="L2" s="1"/>
    </row>
    <row r="3" spans="1:12" ht="24.75" customHeight="1">
      <c r="A3" s="116" t="s">
        <v>6</v>
      </c>
      <c r="B3" s="116"/>
      <c r="C3" s="116"/>
      <c r="D3" s="116"/>
      <c r="E3" s="117"/>
      <c r="F3" s="1"/>
      <c r="G3" s="1"/>
      <c r="H3" s="1"/>
      <c r="I3" s="1"/>
      <c r="J3" s="1"/>
      <c r="K3" s="1"/>
      <c r="L3" s="1"/>
    </row>
    <row r="4" spans="1:12" ht="15.75" customHeight="1">
      <c r="A4" s="2" t="s">
        <v>7</v>
      </c>
      <c r="B4" s="6">
        <f>SUM(B5:B7)</f>
        <v>8308.25</v>
      </c>
      <c r="C4" s="6">
        <f>B4/2</f>
        <v>4154.125</v>
      </c>
      <c r="D4" s="6">
        <f>B4*12</f>
        <v>99699</v>
      </c>
      <c r="E4" s="7"/>
      <c r="F4" s="1"/>
      <c r="G4" s="1"/>
      <c r="H4" s="1"/>
      <c r="I4" s="1"/>
      <c r="J4" s="1"/>
      <c r="K4" s="1"/>
      <c r="L4" s="1"/>
    </row>
    <row r="5" spans="1:12" ht="15.75" customHeight="1">
      <c r="A5" s="10" t="s">
        <v>43</v>
      </c>
      <c r="B5" s="7">
        <v>6266</v>
      </c>
      <c r="C5" s="7"/>
      <c r="D5" s="7"/>
      <c r="E5" s="7"/>
      <c r="F5" s="1"/>
      <c r="G5" s="1"/>
      <c r="H5" s="1"/>
      <c r="I5" s="1"/>
      <c r="J5" s="1"/>
      <c r="K5" s="1"/>
      <c r="L5" s="1"/>
    </row>
    <row r="6" spans="1:12" ht="16.5" customHeight="1">
      <c r="A6" s="10" t="s">
        <v>44</v>
      </c>
      <c r="B6" s="11">
        <f>6406*0.25</f>
        <v>1601.5</v>
      </c>
      <c r="C6" s="7"/>
      <c r="D6" s="7"/>
      <c r="E6" s="7"/>
      <c r="F6" s="1"/>
      <c r="G6" s="1"/>
      <c r="H6" s="1"/>
      <c r="I6" s="1"/>
      <c r="J6" s="1"/>
      <c r="K6" s="1"/>
      <c r="L6" s="1"/>
    </row>
    <row r="7" spans="1:12" ht="18.75" customHeight="1">
      <c r="A7" s="10" t="s">
        <v>45</v>
      </c>
      <c r="B7" s="11">
        <f>1763*0.25</f>
        <v>440.75</v>
      </c>
      <c r="C7" s="7"/>
      <c r="D7" s="7"/>
      <c r="E7" s="7"/>
      <c r="F7" s="1"/>
      <c r="G7" s="1"/>
      <c r="H7" s="1"/>
      <c r="I7" s="1"/>
      <c r="J7" s="1"/>
      <c r="K7" s="1"/>
      <c r="L7" s="1"/>
    </row>
    <row r="8" spans="1:12" ht="12.75">
      <c r="A8" s="2" t="s">
        <v>14</v>
      </c>
      <c r="B8" s="13">
        <f>B4*0.26</f>
        <v>2160.145</v>
      </c>
      <c r="C8" s="6">
        <f aca="true" t="shared" si="0" ref="C8:C13">B8/2</f>
        <v>1080.0725</v>
      </c>
      <c r="D8" s="6">
        <f>B8*12</f>
        <v>25921.739999999998</v>
      </c>
      <c r="E8" s="7"/>
      <c r="F8" s="1"/>
      <c r="G8" s="1"/>
      <c r="H8" s="1"/>
      <c r="I8" s="1"/>
      <c r="J8" s="1"/>
      <c r="K8" s="1"/>
      <c r="L8" s="1"/>
    </row>
    <row r="9" spans="1:12" ht="44.25" customHeight="1">
      <c r="A9" s="2" t="s">
        <v>46</v>
      </c>
      <c r="B9" s="2">
        <f>700*2*30</f>
        <v>42000</v>
      </c>
      <c r="C9" s="2">
        <f t="shared" si="0"/>
        <v>21000</v>
      </c>
      <c r="D9" s="2">
        <f>700*44*20</f>
        <v>616000</v>
      </c>
      <c r="E9" s="7" t="s">
        <v>47</v>
      </c>
      <c r="F9" s="1"/>
      <c r="G9" s="1"/>
      <c r="H9" s="1"/>
      <c r="I9" s="1"/>
      <c r="J9" s="1"/>
      <c r="K9" s="1"/>
      <c r="L9" s="1"/>
    </row>
    <row r="10" spans="1:12" ht="27" customHeight="1">
      <c r="A10" s="2" t="s">
        <v>48</v>
      </c>
      <c r="B10" s="6">
        <f>(300+1000+500)/12</f>
        <v>150</v>
      </c>
      <c r="C10" s="6">
        <f t="shared" si="0"/>
        <v>75</v>
      </c>
      <c r="D10" s="6">
        <f>B10*12</f>
        <v>1800</v>
      </c>
      <c r="E10" s="7" t="s">
        <v>49</v>
      </c>
      <c r="F10" s="1"/>
      <c r="G10" s="1"/>
      <c r="H10" s="1"/>
      <c r="I10" s="1"/>
      <c r="J10" s="1"/>
      <c r="K10" s="1"/>
      <c r="L10" s="1"/>
    </row>
    <row r="11" spans="1:12" ht="24.75" customHeight="1">
      <c r="A11" s="2" t="s">
        <v>17</v>
      </c>
      <c r="B11" s="2">
        <v>200</v>
      </c>
      <c r="C11" s="25">
        <f t="shared" si="0"/>
        <v>100</v>
      </c>
      <c r="D11" s="25">
        <f>B11*12</f>
        <v>2400</v>
      </c>
      <c r="E11" s="7" t="s">
        <v>50</v>
      </c>
      <c r="F11" s="1"/>
      <c r="G11" s="1"/>
      <c r="H11" s="1"/>
      <c r="I11" s="1"/>
      <c r="J11" s="1"/>
      <c r="K11" s="1"/>
      <c r="L11" s="1"/>
    </row>
    <row r="12" spans="1:12" ht="26.25" customHeight="1">
      <c r="A12" s="2" t="s">
        <v>23</v>
      </c>
      <c r="B12" s="2">
        <f>(B17*0.056)/12</f>
        <v>70</v>
      </c>
      <c r="C12" s="25">
        <f t="shared" si="0"/>
        <v>35</v>
      </c>
      <c r="D12" s="25"/>
      <c r="E12" s="7"/>
      <c r="F12" s="1"/>
      <c r="G12" s="1"/>
      <c r="H12" s="1"/>
      <c r="I12" s="1"/>
      <c r="J12" s="1"/>
      <c r="K12" s="1"/>
      <c r="L12" s="1"/>
    </row>
    <row r="13" spans="1:12" ht="31.5" customHeight="1">
      <c r="A13" s="26" t="s">
        <v>24</v>
      </c>
      <c r="B13" s="15">
        <f>B4+B8+B9+B10+B11</f>
        <v>52818.395000000004</v>
      </c>
      <c r="C13" s="15">
        <f t="shared" si="0"/>
        <v>26409.197500000002</v>
      </c>
      <c r="D13" s="15"/>
      <c r="E13" s="17"/>
      <c r="F13" s="56">
        <f>SUM(D4:D11)*22</f>
        <v>16408056.28</v>
      </c>
      <c r="G13" s="1"/>
      <c r="H13" s="1"/>
      <c r="I13" s="1"/>
      <c r="J13" s="1"/>
      <c r="K13" s="1"/>
      <c r="L13" s="1"/>
    </row>
    <row r="14" spans="1:12" ht="19.5" customHeight="1">
      <c r="A14" s="116" t="s">
        <v>25</v>
      </c>
      <c r="B14" s="116"/>
      <c r="C14" s="116"/>
      <c r="D14" s="116"/>
      <c r="E14" s="117"/>
      <c r="F14" s="1"/>
      <c r="G14" s="1"/>
      <c r="H14" s="1"/>
      <c r="I14" s="1"/>
      <c r="J14" s="1"/>
      <c r="K14" s="1"/>
      <c r="L14" s="1"/>
    </row>
    <row r="15" spans="1:12" ht="35.25" customHeight="1">
      <c r="A15" s="2" t="s">
        <v>51</v>
      </c>
      <c r="B15" s="6">
        <f>813.84*1.6</f>
        <v>1302.1440000000002</v>
      </c>
      <c r="C15" s="7"/>
      <c r="D15" s="7"/>
      <c r="E15" s="7" t="s">
        <v>52</v>
      </c>
      <c r="F15" s="1"/>
      <c r="G15" s="1"/>
      <c r="H15" s="1"/>
      <c r="I15" s="1"/>
      <c r="J15" s="1"/>
      <c r="K15" s="1"/>
      <c r="L15" s="1"/>
    </row>
    <row r="16" spans="1:12" ht="70.5" customHeight="1">
      <c r="A16" s="2" t="s">
        <v>53</v>
      </c>
      <c r="B16" s="2">
        <f>((300*2)+(500*3*2)+(120*3*2)+600)</f>
        <v>4920</v>
      </c>
      <c r="C16" s="7"/>
      <c r="D16" s="7"/>
      <c r="E16" s="7" t="s">
        <v>54</v>
      </c>
      <c r="F16" s="1"/>
      <c r="G16" s="1"/>
      <c r="H16" s="1"/>
      <c r="I16" s="1"/>
      <c r="J16" s="1"/>
      <c r="K16" s="1"/>
      <c r="L16" s="1"/>
    </row>
    <row r="17" spans="1:12" ht="34.5" customHeight="1">
      <c r="A17" s="2" t="s">
        <v>55</v>
      </c>
      <c r="B17" s="2">
        <v>15000</v>
      </c>
      <c r="C17" s="7"/>
      <c r="D17" s="7"/>
      <c r="E17" s="7" t="s">
        <v>56</v>
      </c>
      <c r="F17" s="1"/>
      <c r="G17" s="1"/>
      <c r="H17" s="1"/>
      <c r="I17" s="1"/>
      <c r="J17" s="1"/>
      <c r="K17" s="1"/>
      <c r="L17" s="1"/>
    </row>
    <row r="18" spans="1:12" ht="12.75">
      <c r="A18" s="26" t="s">
        <v>40</v>
      </c>
      <c r="B18" s="15">
        <f>SUM(B15:B17)</f>
        <v>21222.144</v>
      </c>
      <c r="C18" s="17"/>
      <c r="D18" s="17"/>
      <c r="E18" s="17"/>
      <c r="F18" s="1"/>
      <c r="G18" s="1"/>
      <c r="H18" s="1"/>
      <c r="I18" s="1"/>
      <c r="J18" s="1"/>
      <c r="K18" s="1"/>
      <c r="L18" s="1"/>
    </row>
    <row r="19" spans="1:12" ht="12">
      <c r="A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55">
        <f>B13*12*21</f>
        <v>13310235.54</v>
      </c>
      <c r="C20" s="56">
        <f>B18*17</f>
        <v>360776.448</v>
      </c>
      <c r="D20" s="56"/>
      <c r="E20" s="1"/>
      <c r="F20" s="1"/>
      <c r="G20" s="1"/>
      <c r="H20" s="1"/>
      <c r="I20" s="1"/>
      <c r="J20" s="1"/>
      <c r="K20" s="1"/>
      <c r="L20" s="1"/>
    </row>
    <row r="21" spans="1:12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</sheetData>
  <mergeCells count="3">
    <mergeCell ref="A3:E3"/>
    <mergeCell ref="A14:E14"/>
    <mergeCell ref="A1:F1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A1" sqref="A1:E45"/>
    </sheetView>
  </sheetViews>
  <sheetFormatPr defaultColWidth="9.140625" defaultRowHeight="12.75"/>
  <cols>
    <col min="1" max="1" width="38.8515625" style="0" customWidth="1"/>
    <col min="2" max="2" width="18.421875" style="0" customWidth="1"/>
    <col min="3" max="3" width="17.8515625" style="0" customWidth="1"/>
    <col min="4" max="4" width="36.00390625" style="0" customWidth="1"/>
    <col min="13" max="13" width="18.00390625" style="0" customWidth="1"/>
    <col min="14" max="14" width="15.7109375" style="0" customWidth="1"/>
  </cols>
  <sheetData>
    <row r="1" spans="1:5" ht="21.75" customHeight="1">
      <c r="A1" s="119" t="s">
        <v>106</v>
      </c>
      <c r="B1" s="119"/>
      <c r="C1" s="119"/>
      <c r="D1" s="119"/>
      <c r="E1" s="125"/>
    </row>
    <row r="2" spans="1:11" ht="12.75">
      <c r="A2" s="2" t="s">
        <v>2</v>
      </c>
      <c r="B2" s="3" t="s">
        <v>57</v>
      </c>
      <c r="C2" s="3" t="s">
        <v>58</v>
      </c>
      <c r="D2" s="4" t="s">
        <v>5</v>
      </c>
      <c r="E2" s="22"/>
      <c r="F2" s="1"/>
      <c r="G2" s="1"/>
      <c r="H2" s="1"/>
      <c r="I2" s="1"/>
      <c r="J2" s="1"/>
      <c r="K2" s="1"/>
    </row>
    <row r="3" spans="1:11" ht="21" customHeight="1">
      <c r="A3" s="116" t="s">
        <v>6</v>
      </c>
      <c r="B3" s="116"/>
      <c r="C3" s="116"/>
      <c r="D3" s="117"/>
      <c r="E3" s="1"/>
      <c r="F3" s="1"/>
      <c r="G3" s="1"/>
      <c r="H3" s="1"/>
      <c r="I3" s="1"/>
      <c r="J3" s="1"/>
      <c r="K3" s="1"/>
    </row>
    <row r="4" spans="1:11" ht="20.25" customHeight="1">
      <c r="A4" s="2" t="s">
        <v>59</v>
      </c>
      <c r="B4" s="6">
        <f>B5+B6+B7</f>
        <v>17199.5</v>
      </c>
      <c r="C4" s="2">
        <f>B4*12</f>
        <v>206394</v>
      </c>
      <c r="D4" s="19"/>
      <c r="E4" s="1"/>
      <c r="F4" s="1"/>
      <c r="G4" s="1"/>
      <c r="H4" s="1"/>
      <c r="I4" s="1"/>
      <c r="J4" s="1"/>
      <c r="K4" s="1"/>
    </row>
    <row r="5" spans="1:11" ht="21.75" customHeight="1">
      <c r="A5" s="10" t="s">
        <v>60</v>
      </c>
      <c r="B5" s="19">
        <f>6266*0.5</f>
        <v>3133</v>
      </c>
      <c r="C5" s="2"/>
      <c r="D5" s="9"/>
      <c r="E5" s="1"/>
      <c r="F5" s="1"/>
      <c r="G5" s="1"/>
      <c r="H5" s="1"/>
      <c r="I5" s="1"/>
      <c r="J5" s="1"/>
      <c r="K5" s="1"/>
    </row>
    <row r="6" spans="1:11" ht="24" customHeight="1">
      <c r="A6" s="10" t="s">
        <v>61</v>
      </c>
      <c r="B6" s="29">
        <f>6266*0.25</f>
        <v>1566.5</v>
      </c>
      <c r="C6" s="2"/>
      <c r="D6" s="9"/>
      <c r="E6" s="1"/>
      <c r="F6" s="1"/>
      <c r="G6" s="1"/>
      <c r="H6" s="1"/>
      <c r="I6" s="1"/>
      <c r="J6" s="1"/>
      <c r="K6" s="1"/>
    </row>
    <row r="7" spans="1:11" ht="32.25" customHeight="1">
      <c r="A7" s="10" t="s">
        <v>62</v>
      </c>
      <c r="B7" s="19">
        <f>5000*2.5</f>
        <v>12500</v>
      </c>
      <c r="C7" s="2"/>
      <c r="D7" s="7"/>
      <c r="E7" s="1"/>
      <c r="F7" s="1"/>
      <c r="G7" s="1"/>
      <c r="H7" s="1"/>
      <c r="I7" s="1"/>
      <c r="J7" s="1"/>
      <c r="K7" s="1"/>
    </row>
    <row r="8" spans="1:11" ht="24" customHeight="1">
      <c r="A8" s="2" t="s">
        <v>63</v>
      </c>
      <c r="B8" s="6">
        <f>B4*0.26</f>
        <v>4471.87</v>
      </c>
      <c r="C8" s="6">
        <f>B8*12</f>
        <v>53662.44</v>
      </c>
      <c r="D8" s="7"/>
      <c r="E8" s="1"/>
      <c r="F8" s="1"/>
      <c r="G8" s="1"/>
      <c r="H8" s="1"/>
      <c r="I8" s="1"/>
      <c r="J8" s="1"/>
      <c r="K8" s="1"/>
    </row>
    <row r="9" spans="1:11" ht="21.75" customHeight="1">
      <c r="A9" s="2" t="s">
        <v>64</v>
      </c>
      <c r="B9" s="2">
        <f>B10+B11+B12</f>
        <v>44399</v>
      </c>
      <c r="C9" s="2">
        <f>B9*12</f>
        <v>532788</v>
      </c>
      <c r="D9" s="7"/>
      <c r="E9" s="1"/>
      <c r="F9" s="1"/>
      <c r="G9" s="1"/>
      <c r="H9" s="1"/>
      <c r="I9" s="1"/>
      <c r="J9" s="1"/>
      <c r="K9" s="1"/>
    </row>
    <row r="10" spans="1:11" ht="19.5" customHeight="1">
      <c r="A10" s="10" t="s">
        <v>65</v>
      </c>
      <c r="B10" s="7">
        <f>6266</f>
        <v>6266</v>
      </c>
      <c r="C10" s="7"/>
      <c r="D10" s="9"/>
      <c r="E10" s="1"/>
      <c r="F10" s="1"/>
      <c r="G10" s="1"/>
      <c r="H10" s="1"/>
      <c r="I10" s="1"/>
      <c r="J10" s="1"/>
      <c r="K10" s="1"/>
    </row>
    <row r="11" spans="1:11" ht="54.75" customHeight="1">
      <c r="A11" s="10" t="s">
        <v>66</v>
      </c>
      <c r="B11" s="7">
        <f>6266*0.5</f>
        <v>3133</v>
      </c>
      <c r="C11" s="7"/>
      <c r="D11" s="7" t="s">
        <v>67</v>
      </c>
      <c r="E11" s="1"/>
      <c r="F11" s="1"/>
      <c r="G11" s="1"/>
      <c r="H11" s="1"/>
      <c r="I11" s="1"/>
      <c r="J11" s="1"/>
      <c r="K11" s="1"/>
    </row>
    <row r="12" spans="1:11" ht="42" customHeight="1">
      <c r="A12" s="10" t="s">
        <v>68</v>
      </c>
      <c r="B12" s="7">
        <f>5000*7</f>
        <v>35000</v>
      </c>
      <c r="C12" s="7"/>
      <c r="D12" s="7"/>
      <c r="E12" s="1"/>
      <c r="F12" s="1"/>
      <c r="G12" s="1"/>
      <c r="H12" s="1"/>
      <c r="I12" s="1"/>
      <c r="J12" s="1"/>
      <c r="K12" s="1"/>
    </row>
    <row r="13" spans="1:11" ht="30" customHeight="1">
      <c r="A13" s="2" t="s">
        <v>69</v>
      </c>
      <c r="B13" s="6">
        <f>B9*0.26</f>
        <v>11543.74</v>
      </c>
      <c r="C13" s="6">
        <f>B13*12</f>
        <v>138524.88</v>
      </c>
      <c r="D13" s="7"/>
      <c r="E13" s="1"/>
      <c r="F13" s="1"/>
      <c r="G13" s="1"/>
      <c r="H13" s="1"/>
      <c r="I13" s="1"/>
      <c r="J13" s="1"/>
      <c r="K13" s="1"/>
    </row>
    <row r="14" spans="1:11" ht="54" customHeight="1">
      <c r="A14" s="2" t="s">
        <v>70</v>
      </c>
      <c r="B14" s="6">
        <f>C14/12</f>
        <v>683.3333333333334</v>
      </c>
      <c r="C14" s="2">
        <f>((5*300)+(2*5*500)+(120*5*2)+500)</f>
        <v>8200</v>
      </c>
      <c r="D14" s="7" t="s">
        <v>71</v>
      </c>
      <c r="E14" s="1"/>
      <c r="F14" s="1"/>
      <c r="G14" s="1"/>
      <c r="H14" s="1"/>
      <c r="I14" s="1"/>
      <c r="J14" s="1"/>
      <c r="K14" s="1"/>
    </row>
    <row r="15" spans="1:11" ht="31.5" customHeight="1">
      <c r="A15" s="2" t="s">
        <v>72</v>
      </c>
      <c r="B15" s="6">
        <f>B16+B17+B18</f>
        <v>1841.2</v>
      </c>
      <c r="C15" s="6">
        <f>B15*12</f>
        <v>22094.4</v>
      </c>
      <c r="D15" s="7"/>
      <c r="E15" s="1"/>
      <c r="F15" s="1"/>
      <c r="G15" s="1"/>
      <c r="H15" s="1"/>
      <c r="I15" s="1"/>
      <c r="J15" s="1"/>
      <c r="K15" s="1"/>
    </row>
    <row r="16" spans="1:11" ht="42" customHeight="1">
      <c r="A16" s="10" t="s">
        <v>73</v>
      </c>
      <c r="B16" s="7">
        <v>1690</v>
      </c>
      <c r="C16" s="7"/>
      <c r="D16" s="7" t="s">
        <v>455</v>
      </c>
      <c r="E16" s="1"/>
      <c r="F16" s="1"/>
      <c r="G16" s="1"/>
      <c r="H16" s="1"/>
      <c r="I16" s="1"/>
      <c r="J16" s="1"/>
      <c r="K16" s="1"/>
    </row>
    <row r="17" spans="1:11" ht="22.5" customHeight="1">
      <c r="A17" s="10" t="s">
        <v>74</v>
      </c>
      <c r="B17" s="11">
        <v>84.9</v>
      </c>
      <c r="C17" s="7"/>
      <c r="D17" s="7" t="s">
        <v>75</v>
      </c>
      <c r="E17" s="1"/>
      <c r="F17" s="1"/>
      <c r="G17" s="1"/>
      <c r="H17" s="1"/>
      <c r="I17" s="1"/>
      <c r="J17" s="1"/>
      <c r="K17" s="1"/>
    </row>
    <row r="18" spans="1:11" ht="21" customHeight="1">
      <c r="A18" s="10" t="s">
        <v>76</v>
      </c>
      <c r="B18" s="11">
        <v>66.3</v>
      </c>
      <c r="C18" s="7"/>
      <c r="D18" s="7" t="s">
        <v>77</v>
      </c>
      <c r="E18" s="1"/>
      <c r="F18" s="1"/>
      <c r="G18" s="1"/>
      <c r="H18" s="1"/>
      <c r="I18" s="1"/>
      <c r="J18" s="1"/>
      <c r="K18" s="1"/>
    </row>
    <row r="19" spans="1:11" ht="45" customHeight="1">
      <c r="A19" s="2" t="s">
        <v>78</v>
      </c>
      <c r="B19" s="6">
        <v>0</v>
      </c>
      <c r="C19" s="2">
        <f>B19*12</f>
        <v>0</v>
      </c>
      <c r="D19" s="7" t="s">
        <v>79</v>
      </c>
      <c r="E19" s="1"/>
      <c r="F19" s="1"/>
      <c r="G19" s="1"/>
      <c r="H19" s="1"/>
      <c r="I19" s="1"/>
      <c r="J19" s="1"/>
      <c r="K19" s="1"/>
    </row>
    <row r="20" spans="1:11" ht="30.75" customHeight="1">
      <c r="A20" s="10" t="s">
        <v>80</v>
      </c>
      <c r="B20" s="29">
        <v>0</v>
      </c>
      <c r="C20" s="7"/>
      <c r="D20" s="7" t="s">
        <v>81</v>
      </c>
      <c r="E20" s="1"/>
      <c r="F20" s="1"/>
      <c r="G20" s="1"/>
      <c r="H20" s="1"/>
      <c r="I20" s="1"/>
      <c r="J20" s="1"/>
      <c r="K20" s="1"/>
    </row>
    <row r="21" spans="1:11" ht="29.25" customHeight="1">
      <c r="A21" s="10" t="s">
        <v>82</v>
      </c>
      <c r="B21" s="29">
        <v>0</v>
      </c>
      <c r="C21" s="7"/>
      <c r="D21" s="7" t="s">
        <v>83</v>
      </c>
      <c r="E21" s="1"/>
      <c r="F21" s="1"/>
      <c r="G21" s="1"/>
      <c r="H21" s="1"/>
      <c r="I21" s="1"/>
      <c r="J21" s="1"/>
      <c r="K21" s="1"/>
    </row>
    <row r="22" spans="1:11" ht="41.25" customHeight="1">
      <c r="A22" s="10" t="s">
        <v>84</v>
      </c>
      <c r="B22" s="29">
        <v>0</v>
      </c>
      <c r="C22" s="7"/>
      <c r="D22" s="7"/>
      <c r="E22" s="1"/>
      <c r="F22" s="1"/>
      <c r="G22" s="1"/>
      <c r="H22" s="1"/>
      <c r="I22" s="1"/>
      <c r="J22" s="1"/>
      <c r="K22" s="1"/>
    </row>
    <row r="23" spans="1:11" ht="29.25" customHeight="1">
      <c r="A23" s="2" t="s">
        <v>85</v>
      </c>
      <c r="B23" s="2">
        <v>380</v>
      </c>
      <c r="C23" s="2">
        <f>B23*12</f>
        <v>4560</v>
      </c>
      <c r="D23" s="7" t="s">
        <v>86</v>
      </c>
      <c r="E23" s="1"/>
      <c r="F23" s="1"/>
      <c r="G23" s="1"/>
      <c r="H23" s="1"/>
      <c r="I23" s="1"/>
      <c r="J23" s="1"/>
      <c r="K23" s="1"/>
    </row>
    <row r="24" spans="1:11" ht="32.25" customHeight="1">
      <c r="A24" s="2" t="s">
        <v>23</v>
      </c>
      <c r="B24" s="6">
        <f>((B30+B31+B39)*0.056)/12</f>
        <v>255.26666666666668</v>
      </c>
      <c r="C24" s="6">
        <f>(B30+B31+B39)*0.056</f>
        <v>3063.2000000000003</v>
      </c>
      <c r="D24" s="7" t="s">
        <v>87</v>
      </c>
      <c r="E24" s="54"/>
      <c r="F24" s="1"/>
      <c r="G24" s="1"/>
      <c r="H24" s="1"/>
      <c r="I24" s="1"/>
      <c r="J24" s="1"/>
      <c r="K24" s="1"/>
    </row>
    <row r="25" spans="1:11" ht="30" customHeight="1">
      <c r="A25" s="26" t="s">
        <v>108</v>
      </c>
      <c r="B25" s="15">
        <f>B4+B8+B14+B15+B19+B23+B24</f>
        <v>24831.17</v>
      </c>
      <c r="C25" s="15">
        <f>B25*12</f>
        <v>297974.04</v>
      </c>
      <c r="D25" s="17">
        <f>C25*8/1000</f>
        <v>2383.79232</v>
      </c>
      <c r="E25" s="1"/>
      <c r="F25" s="1"/>
      <c r="G25" s="1"/>
      <c r="H25" s="1"/>
      <c r="I25" s="1"/>
      <c r="J25" s="1"/>
      <c r="K25" s="1"/>
    </row>
    <row r="26" spans="1:11" ht="30.75" customHeight="1">
      <c r="A26" s="26" t="s">
        <v>107</v>
      </c>
      <c r="B26" s="15">
        <f>B9+B13+B14+B15+B19+B23+B24</f>
        <v>59102.54</v>
      </c>
      <c r="C26" s="15">
        <f>B26*12</f>
        <v>709230.48</v>
      </c>
      <c r="D26" s="17"/>
      <c r="E26" s="1"/>
      <c r="F26" s="1"/>
      <c r="G26" s="1"/>
      <c r="H26" s="1"/>
      <c r="I26" s="1"/>
      <c r="J26" s="1"/>
      <c r="K26" s="1"/>
    </row>
    <row r="27" spans="1:11" ht="20.25" customHeight="1">
      <c r="A27" s="116" t="s">
        <v>25</v>
      </c>
      <c r="B27" s="116"/>
      <c r="C27" s="116"/>
      <c r="D27" s="117"/>
      <c r="E27" s="1"/>
      <c r="F27" s="1"/>
      <c r="G27" s="1"/>
      <c r="H27" s="1"/>
      <c r="I27" s="1"/>
      <c r="J27" s="1"/>
      <c r="K27" s="1"/>
    </row>
    <row r="28" spans="1:11" ht="27" customHeight="1">
      <c r="A28" s="2" t="s">
        <v>88</v>
      </c>
      <c r="B28" s="6">
        <f>813.84*1.2</f>
        <v>976.608</v>
      </c>
      <c r="C28" s="7"/>
      <c r="D28" s="7" t="s">
        <v>89</v>
      </c>
      <c r="E28" s="1"/>
      <c r="F28" s="1"/>
      <c r="G28" s="1"/>
      <c r="H28" s="1"/>
      <c r="I28" s="1"/>
      <c r="J28" s="1"/>
      <c r="K28" s="1"/>
    </row>
    <row r="29" spans="1:11" ht="32.25" customHeight="1">
      <c r="A29" s="2" t="s">
        <v>90</v>
      </c>
      <c r="B29" s="2">
        <f>((300*5)+(500*6*5)+1500)</f>
        <v>18000</v>
      </c>
      <c r="C29" s="7"/>
      <c r="D29" s="7" t="s">
        <v>91</v>
      </c>
      <c r="E29" s="1"/>
      <c r="F29" s="1"/>
      <c r="G29" s="1"/>
      <c r="H29" t="s">
        <v>305</v>
      </c>
      <c r="I29" s="1"/>
      <c r="J29" s="1"/>
      <c r="K29" s="1"/>
    </row>
    <row r="30" spans="1:11" ht="32.25" customHeight="1">
      <c r="A30" s="2" t="s">
        <v>92</v>
      </c>
      <c r="B30" s="2">
        <v>5900</v>
      </c>
      <c r="C30" s="7"/>
      <c r="D30" s="7"/>
      <c r="E30" s="1"/>
      <c r="F30" s="1"/>
      <c r="G30" s="1"/>
      <c r="H30" t="s">
        <v>306</v>
      </c>
      <c r="I30" s="1"/>
      <c r="J30" s="1"/>
      <c r="K30" s="1"/>
    </row>
    <row r="31" spans="1:11" ht="24" customHeight="1">
      <c r="A31" s="2" t="s">
        <v>32</v>
      </c>
      <c r="B31" s="2">
        <f>SUM(B32:B37)</f>
        <v>20800</v>
      </c>
      <c r="C31" s="7"/>
      <c r="D31" s="7"/>
      <c r="E31" s="1"/>
      <c r="F31" s="1"/>
      <c r="G31" s="1"/>
      <c r="H31" s="58" t="s">
        <v>307</v>
      </c>
      <c r="I31" s="1"/>
      <c r="J31" s="1"/>
      <c r="K31" s="1"/>
    </row>
    <row r="32" spans="1:11" ht="21" customHeight="1">
      <c r="A32" s="10" t="s">
        <v>93</v>
      </c>
      <c r="B32" s="7">
        <v>7300</v>
      </c>
      <c r="C32" s="7"/>
      <c r="D32" s="7" t="s">
        <v>56</v>
      </c>
      <c r="E32" s="1"/>
      <c r="F32" s="1"/>
      <c r="G32" s="1"/>
      <c r="H32" s="58" t="s">
        <v>308</v>
      </c>
      <c r="I32" s="1"/>
      <c r="J32" s="1"/>
      <c r="K32" s="1"/>
    </row>
    <row r="33" spans="1:15" ht="45" customHeight="1">
      <c r="A33" s="10" t="s">
        <v>94</v>
      </c>
      <c r="B33" s="7">
        <v>2000</v>
      </c>
      <c r="C33" s="7"/>
      <c r="D33" s="7" t="s">
        <v>95</v>
      </c>
      <c r="E33" s="1"/>
      <c r="F33" s="1"/>
      <c r="G33" s="1"/>
      <c r="I33" s="1"/>
      <c r="J33" s="1"/>
      <c r="K33" s="1"/>
      <c r="M33" t="s">
        <v>348</v>
      </c>
      <c r="N33" t="s">
        <v>347</v>
      </c>
      <c r="O33" t="s">
        <v>349</v>
      </c>
    </row>
    <row r="34" spans="1:13" ht="21.75" customHeight="1">
      <c r="A34" s="10" t="s">
        <v>96</v>
      </c>
      <c r="B34" s="7">
        <v>3000</v>
      </c>
      <c r="C34" s="7"/>
      <c r="D34" s="7"/>
      <c r="E34" s="1"/>
      <c r="F34" s="1"/>
      <c r="G34" s="1"/>
      <c r="I34" s="1"/>
      <c r="J34" s="1"/>
      <c r="K34" t="s">
        <v>327</v>
      </c>
      <c r="M34" s="58" t="s">
        <v>320</v>
      </c>
    </row>
    <row r="35" spans="1:14" ht="18.75" customHeight="1">
      <c r="A35" s="10" t="s">
        <v>97</v>
      </c>
      <c r="B35" s="7">
        <v>500</v>
      </c>
      <c r="C35" s="7"/>
      <c r="D35" s="7"/>
      <c r="E35" s="1"/>
      <c r="F35" s="1"/>
      <c r="G35" s="1"/>
      <c r="I35" s="1"/>
      <c r="J35" s="1"/>
      <c r="K35" t="s">
        <v>328</v>
      </c>
      <c r="N35" s="58" t="s">
        <v>324</v>
      </c>
    </row>
    <row r="36" spans="1:14" ht="30.75" customHeight="1">
      <c r="A36" s="10" t="s">
        <v>98</v>
      </c>
      <c r="B36" s="7">
        <v>3000</v>
      </c>
      <c r="C36" s="7"/>
      <c r="D36" s="7" t="s">
        <v>99</v>
      </c>
      <c r="E36" s="1"/>
      <c r="F36" s="1"/>
      <c r="G36" s="1"/>
      <c r="I36" s="1"/>
      <c r="J36" s="1"/>
      <c r="K36" t="s">
        <v>329</v>
      </c>
      <c r="N36" s="58" t="s">
        <v>323</v>
      </c>
    </row>
    <row r="37" spans="1:13" ht="33.75" customHeight="1">
      <c r="A37" s="10" t="s">
        <v>100</v>
      </c>
      <c r="B37" s="7">
        <v>5000</v>
      </c>
      <c r="C37" s="7"/>
      <c r="D37" s="7" t="s">
        <v>99</v>
      </c>
      <c r="E37" s="1"/>
      <c r="F37" s="1"/>
      <c r="G37" s="1"/>
      <c r="I37" s="1"/>
      <c r="J37" s="1"/>
      <c r="K37" t="s">
        <v>330</v>
      </c>
      <c r="M37" s="58" t="s">
        <v>318</v>
      </c>
    </row>
    <row r="38" spans="1:14" ht="20.25" customHeight="1">
      <c r="A38" s="26" t="s">
        <v>40</v>
      </c>
      <c r="B38" s="20">
        <f>B28+B29+B30+B31</f>
        <v>45676.608</v>
      </c>
      <c r="C38" s="17"/>
      <c r="D38" s="17"/>
      <c r="E38" s="1"/>
      <c r="F38" s="1"/>
      <c r="G38" s="1"/>
      <c r="I38" s="1"/>
      <c r="J38" s="1"/>
      <c r="K38" t="s">
        <v>331</v>
      </c>
      <c r="N38" s="58" t="s">
        <v>325</v>
      </c>
    </row>
    <row r="39" spans="1:13" ht="19.5" customHeight="1">
      <c r="A39" s="2" t="s">
        <v>101</v>
      </c>
      <c r="B39" s="2">
        <f>B40+B41+B42</f>
        <v>28000</v>
      </c>
      <c r="C39" s="7"/>
      <c r="D39" s="7"/>
      <c r="E39" s="1"/>
      <c r="F39" s="1"/>
      <c r="G39" s="1"/>
      <c r="I39" s="1"/>
      <c r="J39" s="1"/>
      <c r="K39" t="s">
        <v>332</v>
      </c>
      <c r="M39" s="58" t="s">
        <v>316</v>
      </c>
    </row>
    <row r="40" spans="1:13" ht="29.25" customHeight="1">
      <c r="A40" s="10" t="s">
        <v>102</v>
      </c>
      <c r="B40" s="7">
        <v>4000</v>
      </c>
      <c r="C40" s="7"/>
      <c r="D40" s="7"/>
      <c r="E40" s="1"/>
      <c r="F40" s="1"/>
      <c r="G40" s="1"/>
      <c r="I40" s="1"/>
      <c r="J40" s="1"/>
      <c r="K40" t="s">
        <v>333</v>
      </c>
      <c r="M40" s="58" t="s">
        <v>317</v>
      </c>
    </row>
    <row r="41" spans="1:13" ht="39.75" customHeight="1">
      <c r="A41" s="10" t="s">
        <v>103</v>
      </c>
      <c r="B41" s="7">
        <v>19000</v>
      </c>
      <c r="C41" s="7"/>
      <c r="D41" s="7" t="s">
        <v>104</v>
      </c>
      <c r="E41" s="1"/>
      <c r="F41" s="1"/>
      <c r="G41" s="1"/>
      <c r="I41" s="1"/>
      <c r="J41" s="1"/>
      <c r="K41" t="s">
        <v>334</v>
      </c>
      <c r="M41" s="58" t="s">
        <v>310</v>
      </c>
    </row>
    <row r="42" spans="1:13" ht="23.25" customHeight="1">
      <c r="A42" s="10" t="s">
        <v>105</v>
      </c>
      <c r="B42" s="7">
        <v>5000</v>
      </c>
      <c r="C42" s="7"/>
      <c r="D42" s="7"/>
      <c r="E42" s="1"/>
      <c r="F42" s="1"/>
      <c r="G42" s="1"/>
      <c r="I42" s="1"/>
      <c r="J42" s="1"/>
      <c r="K42" t="s">
        <v>335</v>
      </c>
      <c r="M42" s="58" t="s">
        <v>311</v>
      </c>
    </row>
    <row r="43" spans="1:14" ht="30.75" customHeight="1">
      <c r="A43" s="26" t="s">
        <v>109</v>
      </c>
      <c r="B43" s="15">
        <f>B38+B39</f>
        <v>73676.60800000001</v>
      </c>
      <c r="C43" s="17"/>
      <c r="D43" s="17"/>
      <c r="E43" s="1"/>
      <c r="F43" s="1"/>
      <c r="G43" s="1"/>
      <c r="I43" s="1"/>
      <c r="J43" s="1"/>
      <c r="K43" t="s">
        <v>336</v>
      </c>
      <c r="N43" s="58" t="s">
        <v>322</v>
      </c>
    </row>
    <row r="44" spans="1:13" ht="15">
      <c r="A44" s="1"/>
      <c r="B44" s="1"/>
      <c r="C44" s="1">
        <f>B38*8</f>
        <v>365412.864</v>
      </c>
      <c r="D44" s="1"/>
      <c r="E44" s="1"/>
      <c r="F44" s="1"/>
      <c r="G44" s="1"/>
      <c r="I44" s="1"/>
      <c r="J44" s="1"/>
      <c r="K44" t="s">
        <v>337</v>
      </c>
      <c r="M44" s="58" t="s">
        <v>312</v>
      </c>
    </row>
    <row r="45" spans="1:15" ht="12.75">
      <c r="A45" s="1"/>
      <c r="B45" s="55">
        <f>C25*21</f>
        <v>6257454.84</v>
      </c>
      <c r="C45" s="1"/>
      <c r="D45" s="1"/>
      <c r="E45" s="1"/>
      <c r="F45" s="1"/>
      <c r="G45" s="1"/>
      <c r="I45" s="1"/>
      <c r="J45" s="1"/>
      <c r="K45" t="s">
        <v>338</v>
      </c>
      <c r="O45" t="s">
        <v>350</v>
      </c>
    </row>
    <row r="46" spans="1:15" ht="15">
      <c r="A46" s="1"/>
      <c r="B46" s="1"/>
      <c r="C46" s="1"/>
      <c r="D46" s="1"/>
      <c r="E46" s="1"/>
      <c r="F46" s="1"/>
      <c r="G46" s="1"/>
      <c r="H46" s="58" t="s">
        <v>321</v>
      </c>
      <c r="I46" s="1"/>
      <c r="J46" s="1"/>
      <c r="K46" t="s">
        <v>339</v>
      </c>
      <c r="O46" t="s">
        <v>350</v>
      </c>
    </row>
    <row r="47" spans="1:15" ht="12">
      <c r="A47" s="1"/>
      <c r="B47" s="1"/>
      <c r="C47" s="1"/>
      <c r="D47" s="1"/>
      <c r="E47" s="1"/>
      <c r="F47" s="1"/>
      <c r="G47" s="1"/>
      <c r="I47" s="1"/>
      <c r="J47" s="1"/>
      <c r="K47" t="s">
        <v>340</v>
      </c>
      <c r="O47" t="s">
        <v>350</v>
      </c>
    </row>
    <row r="48" spans="1:13" ht="15">
      <c r="A48" s="1"/>
      <c r="B48" s="1"/>
      <c r="C48" s="1"/>
      <c r="D48" s="1"/>
      <c r="E48" s="1"/>
      <c r="F48" s="1"/>
      <c r="G48" s="1"/>
      <c r="I48" s="1"/>
      <c r="J48" s="1"/>
      <c r="K48" t="s">
        <v>341</v>
      </c>
      <c r="M48" s="58" t="s">
        <v>313</v>
      </c>
    </row>
    <row r="49" spans="1:13" ht="15">
      <c r="A49" s="1"/>
      <c r="B49" s="1"/>
      <c r="C49" s="1"/>
      <c r="D49" s="1"/>
      <c r="E49" s="1"/>
      <c r="F49" s="1"/>
      <c r="G49" s="1"/>
      <c r="I49" s="1"/>
      <c r="J49" s="1"/>
      <c r="K49" t="s">
        <v>342</v>
      </c>
      <c r="M49" s="58" t="s">
        <v>314</v>
      </c>
    </row>
    <row r="50" spans="1:13" ht="15">
      <c r="A50" s="1"/>
      <c r="B50" s="1"/>
      <c r="C50" s="1"/>
      <c r="D50" s="1"/>
      <c r="E50" s="1"/>
      <c r="F50" s="1"/>
      <c r="G50" s="1"/>
      <c r="I50" s="1"/>
      <c r="J50" s="1"/>
      <c r="K50" t="s">
        <v>343</v>
      </c>
      <c r="M50" s="58" t="s">
        <v>309</v>
      </c>
    </row>
    <row r="51" spans="1:15" ht="15">
      <c r="A51" s="1"/>
      <c r="B51" s="1"/>
      <c r="C51" s="1"/>
      <c r="D51" s="1"/>
      <c r="E51" s="1"/>
      <c r="F51" s="1"/>
      <c r="G51" s="1"/>
      <c r="H51" s="58" t="s">
        <v>326</v>
      </c>
      <c r="I51" s="1"/>
      <c r="J51" s="1"/>
      <c r="K51" t="s">
        <v>344</v>
      </c>
      <c r="O51" t="s">
        <v>350</v>
      </c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t="s">
        <v>345</v>
      </c>
      <c r="M52" s="58" t="s">
        <v>319</v>
      </c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t="s">
        <v>346</v>
      </c>
      <c r="M53" s="58" t="s">
        <v>315</v>
      </c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</sheetData>
  <mergeCells count="3">
    <mergeCell ref="A3:D3"/>
    <mergeCell ref="A27:D27"/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F17" sqref="F17"/>
    </sheetView>
  </sheetViews>
  <sheetFormatPr defaultColWidth="9.140625" defaultRowHeight="12.75"/>
  <cols>
    <col min="1" max="1" width="39.57421875" style="0" customWidth="1"/>
    <col min="2" max="2" width="18.140625" style="0" customWidth="1"/>
    <col min="3" max="3" width="18.421875" style="0" customWidth="1"/>
    <col min="4" max="4" width="31.7109375" style="0" customWidth="1"/>
  </cols>
  <sheetData>
    <row r="1" spans="1:12" ht="22.5" customHeight="1">
      <c r="A1" s="119" t="s">
        <v>142</v>
      </c>
      <c r="B1" s="119"/>
      <c r="C1" s="119"/>
      <c r="D1" s="119"/>
      <c r="E1" s="125"/>
      <c r="F1" s="1"/>
      <c r="G1" s="1"/>
      <c r="H1" s="1"/>
      <c r="I1" s="1"/>
      <c r="J1" s="1"/>
      <c r="K1" s="1"/>
      <c r="L1" s="1"/>
    </row>
    <row r="2" spans="1:12" ht="31.5" customHeight="1">
      <c r="A2" s="126" t="s">
        <v>143</v>
      </c>
      <c r="B2" s="126"/>
      <c r="C2" s="126"/>
      <c r="D2" s="127"/>
      <c r="E2" s="22"/>
      <c r="F2" s="1"/>
      <c r="G2" s="1"/>
      <c r="H2" s="1"/>
      <c r="I2" s="1"/>
      <c r="J2" s="1"/>
      <c r="K2" s="1"/>
      <c r="L2" s="1"/>
    </row>
    <row r="3" spans="1:12" ht="16.5" customHeight="1">
      <c r="A3" s="2" t="s">
        <v>2</v>
      </c>
      <c r="B3" s="3" t="s">
        <v>3</v>
      </c>
      <c r="C3" s="3" t="s">
        <v>110</v>
      </c>
      <c r="D3" s="4" t="s">
        <v>5</v>
      </c>
      <c r="E3" s="1"/>
      <c r="F3" s="1"/>
      <c r="G3" s="1"/>
      <c r="H3" s="1"/>
      <c r="I3" s="1"/>
      <c r="J3" s="1"/>
      <c r="K3" s="1"/>
      <c r="L3" s="1"/>
    </row>
    <row r="4" spans="1:12" ht="22.5" customHeight="1">
      <c r="A4" s="116" t="s">
        <v>6</v>
      </c>
      <c r="B4" s="116"/>
      <c r="C4" s="116"/>
      <c r="D4" s="117"/>
      <c r="E4" s="1"/>
      <c r="F4" s="1"/>
      <c r="G4" s="1"/>
      <c r="H4" s="1"/>
      <c r="I4" s="1"/>
      <c r="J4" s="1"/>
      <c r="K4" s="1"/>
      <c r="L4" s="1"/>
    </row>
    <row r="5" spans="1:12" ht="17.25" customHeight="1">
      <c r="A5" s="2" t="s">
        <v>7</v>
      </c>
      <c r="B5" s="2">
        <f>B6+B7+B8+B9+B10</f>
        <v>18798</v>
      </c>
      <c r="C5" s="7"/>
      <c r="D5" s="7"/>
      <c r="E5" s="1"/>
      <c r="F5" s="1"/>
      <c r="G5" s="1"/>
      <c r="H5" s="1"/>
      <c r="I5" s="1"/>
      <c r="J5" s="1"/>
      <c r="K5" s="1"/>
      <c r="L5" s="1"/>
    </row>
    <row r="6" spans="1:12" ht="42.75" customHeight="1">
      <c r="A6" s="10" t="s">
        <v>111</v>
      </c>
      <c r="B6" s="7">
        <f>6266*0.5</f>
        <v>3133</v>
      </c>
      <c r="C6" s="7"/>
      <c r="D6" s="7" t="s">
        <v>112</v>
      </c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0" t="s">
        <v>113</v>
      </c>
      <c r="B7" s="9">
        <f>6266</f>
        <v>6266</v>
      </c>
      <c r="C7" s="9"/>
      <c r="D7" s="9"/>
      <c r="E7" s="1"/>
      <c r="F7" s="1"/>
      <c r="G7" s="1"/>
      <c r="H7" s="1"/>
      <c r="I7" s="1"/>
      <c r="J7" s="1"/>
      <c r="K7" s="1"/>
      <c r="L7" s="1"/>
    </row>
    <row r="8" spans="1:12" ht="18.75" customHeight="1">
      <c r="A8" s="10" t="s">
        <v>114</v>
      </c>
      <c r="B8" s="9">
        <f>6266*0.5</f>
        <v>3133</v>
      </c>
      <c r="C8" s="9"/>
      <c r="D8" s="9"/>
      <c r="E8" s="1"/>
      <c r="F8" s="1"/>
      <c r="G8" s="1"/>
      <c r="H8" s="1"/>
      <c r="I8" s="1"/>
      <c r="J8" s="1"/>
      <c r="K8" s="1"/>
      <c r="L8" s="1"/>
    </row>
    <row r="9" spans="1:12" ht="30.75" customHeight="1">
      <c r="A9" s="10" t="s">
        <v>115</v>
      </c>
      <c r="B9" s="9">
        <f>6266*0.5</f>
        <v>3133</v>
      </c>
      <c r="C9" s="9"/>
      <c r="D9" s="9"/>
      <c r="E9" s="1"/>
      <c r="F9" s="1"/>
      <c r="G9" s="1"/>
      <c r="H9" s="1"/>
      <c r="I9" s="1"/>
      <c r="J9" s="1"/>
      <c r="K9" s="1"/>
      <c r="L9" s="1"/>
    </row>
    <row r="10" spans="1:12" ht="15.75" customHeight="1">
      <c r="A10" s="10" t="s">
        <v>116</v>
      </c>
      <c r="B10" s="9">
        <f>6266*0.5</f>
        <v>3133</v>
      </c>
      <c r="C10" s="9"/>
      <c r="D10" s="9"/>
      <c r="E10" s="1"/>
      <c r="F10" s="1"/>
      <c r="G10" s="1"/>
      <c r="H10" s="1"/>
      <c r="I10" s="1"/>
      <c r="J10" s="1"/>
      <c r="K10" s="1"/>
      <c r="L10" s="1"/>
    </row>
    <row r="11" spans="1:12" ht="18.75" customHeight="1">
      <c r="A11" s="2" t="s">
        <v>14</v>
      </c>
      <c r="B11" s="13">
        <f>B5*0.26</f>
        <v>4887.4800000000005</v>
      </c>
      <c r="C11" s="7"/>
      <c r="D11" s="7"/>
      <c r="E11" s="1"/>
      <c r="F11" s="1"/>
      <c r="G11" s="1"/>
      <c r="H11" s="1"/>
      <c r="I11" s="1"/>
      <c r="J11" s="1"/>
      <c r="K11" s="1"/>
      <c r="L11" s="1"/>
    </row>
    <row r="12" spans="1:12" ht="18.75" customHeight="1">
      <c r="A12" s="2" t="s">
        <v>117</v>
      </c>
      <c r="B12" s="13">
        <f>B13+B14</f>
        <v>9000</v>
      </c>
      <c r="C12" s="7"/>
      <c r="D12" s="7"/>
      <c r="E12" s="1"/>
      <c r="F12" s="1"/>
      <c r="G12" s="1"/>
      <c r="H12" s="1"/>
      <c r="I12" s="1"/>
      <c r="J12" s="1"/>
      <c r="K12" s="1"/>
      <c r="L12" s="1"/>
    </row>
    <row r="13" spans="1:12" ht="22.5" customHeight="1">
      <c r="A13" s="31" t="s">
        <v>118</v>
      </c>
      <c r="B13" s="31">
        <v>5000</v>
      </c>
      <c r="C13" s="9"/>
      <c r="D13" s="7" t="s">
        <v>119</v>
      </c>
      <c r="E13" s="1"/>
      <c r="F13" s="1"/>
      <c r="G13" s="1"/>
      <c r="H13" s="1"/>
      <c r="I13" s="1"/>
      <c r="J13" s="1"/>
      <c r="K13" s="1"/>
      <c r="L13" s="1"/>
    </row>
    <row r="14" spans="1:12" ht="22.5" customHeight="1">
      <c r="A14" s="19" t="s">
        <v>72</v>
      </c>
      <c r="B14" s="31">
        <v>4000</v>
      </c>
      <c r="C14" s="9"/>
      <c r="D14" s="9"/>
      <c r="E14" s="1"/>
      <c r="F14" s="1"/>
      <c r="G14" s="1"/>
      <c r="H14" s="1"/>
      <c r="I14" s="1"/>
      <c r="J14" s="1"/>
      <c r="K14" s="1"/>
      <c r="L14" s="1"/>
    </row>
    <row r="15" spans="1:12" ht="39.75" customHeight="1">
      <c r="A15" s="2" t="s">
        <v>120</v>
      </c>
      <c r="B15" s="2">
        <v>0</v>
      </c>
      <c r="C15" s="7"/>
      <c r="D15" s="19" t="s">
        <v>121</v>
      </c>
      <c r="E15" s="1"/>
      <c r="F15" s="1"/>
      <c r="G15" s="1"/>
      <c r="H15" s="1"/>
      <c r="I15" s="1"/>
      <c r="J15" s="1"/>
      <c r="K15" s="1"/>
      <c r="L15" s="1"/>
    </row>
    <row r="16" spans="1:12" ht="12.75">
      <c r="A16" s="2" t="s">
        <v>23</v>
      </c>
      <c r="B16" s="6">
        <f>((B24+B27+B28+B30)*0.056)/12</f>
        <v>438.6666666666667</v>
      </c>
      <c r="C16" s="7"/>
      <c r="D16" s="19"/>
      <c r="E16" s="1"/>
      <c r="F16" s="1"/>
      <c r="G16" s="1"/>
      <c r="H16" s="1"/>
      <c r="I16" s="1"/>
      <c r="J16" s="1"/>
      <c r="K16" s="1"/>
      <c r="L16" s="1"/>
    </row>
    <row r="17" spans="1:12" ht="23.25" customHeight="1">
      <c r="A17" s="26" t="s">
        <v>24</v>
      </c>
      <c r="B17" s="15">
        <f>B5+B11+B12+B15+B16</f>
        <v>33124.14666666667</v>
      </c>
      <c r="C17" s="17"/>
      <c r="D17" s="17"/>
      <c r="E17" s="1"/>
      <c r="F17" s="1"/>
      <c r="G17" s="1"/>
      <c r="H17" s="1"/>
      <c r="I17" s="1"/>
      <c r="J17" s="1"/>
      <c r="K17" s="1"/>
      <c r="L17" s="1"/>
    </row>
    <row r="18" spans="1:12" ht="22.5" customHeight="1">
      <c r="A18" s="116" t="s">
        <v>25</v>
      </c>
      <c r="B18" s="116"/>
      <c r="C18" s="116"/>
      <c r="D18" s="117"/>
      <c r="E18" s="1"/>
      <c r="F18" s="1"/>
      <c r="G18" s="1"/>
      <c r="H18" s="1"/>
      <c r="I18" s="1"/>
      <c r="J18" s="1"/>
      <c r="K18" s="1"/>
      <c r="L18" s="1"/>
    </row>
    <row r="19" spans="1:12" ht="27.75" customHeight="1">
      <c r="A19" s="2" t="s">
        <v>122</v>
      </c>
      <c r="B19" s="2">
        <v>0</v>
      </c>
      <c r="C19" s="7"/>
      <c r="D19" s="7"/>
      <c r="E19" s="1"/>
      <c r="F19" s="1"/>
      <c r="G19" s="1"/>
      <c r="H19" s="1"/>
      <c r="I19" s="1"/>
      <c r="J19" s="1"/>
      <c r="K19" s="1"/>
      <c r="L19" s="1"/>
    </row>
    <row r="20" spans="1:12" ht="12.75">
      <c r="A20" s="2" t="s">
        <v>123</v>
      </c>
      <c r="B20" s="2">
        <f>B21+B22</f>
        <v>18540</v>
      </c>
      <c r="C20" s="7"/>
      <c r="D20" s="7"/>
      <c r="E20" s="1"/>
      <c r="F20" s="1"/>
      <c r="G20" s="1"/>
      <c r="H20" s="1"/>
      <c r="I20" s="1"/>
      <c r="J20" s="1"/>
      <c r="K20" s="1"/>
      <c r="L20" s="1"/>
    </row>
    <row r="21" spans="1:12" ht="35.25" customHeight="1">
      <c r="A21" s="10" t="s">
        <v>124</v>
      </c>
      <c r="B21" s="32">
        <f>(900+13500+(120*3*9)+(500*0.2*9))</f>
        <v>18540</v>
      </c>
      <c r="C21" s="7"/>
      <c r="D21" s="7" t="s">
        <v>125</v>
      </c>
      <c r="E21" s="1"/>
      <c r="F21" s="1"/>
      <c r="G21" s="1"/>
      <c r="H21" s="1"/>
      <c r="I21" s="1"/>
      <c r="J21" s="1"/>
      <c r="K21" s="1"/>
      <c r="L21" s="1"/>
    </row>
    <row r="22" spans="1:12" ht="26.25" customHeight="1">
      <c r="A22" s="10" t="s">
        <v>126</v>
      </c>
      <c r="B22" s="19">
        <v>0</v>
      </c>
      <c r="C22" s="7"/>
      <c r="D22" s="7" t="s">
        <v>127</v>
      </c>
      <c r="E22" s="1"/>
      <c r="F22" s="1"/>
      <c r="G22" s="1"/>
      <c r="H22" s="1"/>
      <c r="I22" s="1"/>
      <c r="J22" s="1"/>
      <c r="K22" s="1"/>
      <c r="L22" s="1"/>
    </row>
    <row r="23" spans="1:12" ht="24" customHeight="1">
      <c r="A23" s="2" t="s">
        <v>128</v>
      </c>
      <c r="B23" s="6">
        <f>814*0.9</f>
        <v>732.6</v>
      </c>
      <c r="C23" s="7"/>
      <c r="D23" s="7" t="s">
        <v>129</v>
      </c>
      <c r="E23" s="1"/>
      <c r="F23" s="1"/>
      <c r="G23" s="1"/>
      <c r="H23" s="1"/>
      <c r="I23" s="1"/>
      <c r="J23" s="1"/>
      <c r="K23" s="1"/>
      <c r="L23" s="1"/>
    </row>
    <row r="24" spans="1:12" ht="23.25" customHeight="1">
      <c r="A24" s="2" t="s">
        <v>130</v>
      </c>
      <c r="B24" s="2">
        <v>20000</v>
      </c>
      <c r="C24" s="7"/>
      <c r="D24" s="7" t="s">
        <v>131</v>
      </c>
      <c r="E24" s="1"/>
      <c r="F24" s="1"/>
      <c r="G24" s="1"/>
      <c r="H24" s="1"/>
      <c r="I24" s="1"/>
      <c r="J24" s="1"/>
      <c r="K24" s="1"/>
      <c r="L24" s="1"/>
    </row>
    <row r="25" spans="1:12" ht="34.5" customHeight="1">
      <c r="A25" s="2" t="s">
        <v>132</v>
      </c>
      <c r="B25" s="6">
        <f>814*1.5</f>
        <v>1221</v>
      </c>
      <c r="C25" s="7"/>
      <c r="D25" s="18" t="s">
        <v>133</v>
      </c>
      <c r="E25" s="1"/>
      <c r="F25" s="1"/>
      <c r="G25" s="1"/>
      <c r="H25" s="1"/>
      <c r="I25" s="1"/>
      <c r="J25" s="1"/>
      <c r="K25" s="1"/>
      <c r="L25" s="1"/>
    </row>
    <row r="26" spans="1:12" ht="34.5" customHeight="1">
      <c r="A26" s="2" t="s">
        <v>134</v>
      </c>
      <c r="B26" s="2">
        <f>814</f>
        <v>814</v>
      </c>
      <c r="C26" s="7"/>
      <c r="D26" s="18" t="s">
        <v>135</v>
      </c>
      <c r="E26" s="1"/>
      <c r="F26" s="1"/>
      <c r="G26" s="1"/>
      <c r="H26" s="1"/>
      <c r="I26" s="1"/>
      <c r="J26" s="1"/>
      <c r="K26" s="1"/>
      <c r="L26" s="1"/>
    </row>
    <row r="27" spans="1:12" ht="30" customHeight="1">
      <c r="A27" s="2" t="s">
        <v>136</v>
      </c>
      <c r="B27" s="2">
        <v>31000</v>
      </c>
      <c r="C27" s="7"/>
      <c r="D27" s="7" t="s">
        <v>131</v>
      </c>
      <c r="E27" s="1"/>
      <c r="F27" s="1"/>
      <c r="G27" s="1"/>
      <c r="H27" s="1"/>
      <c r="I27" s="1"/>
      <c r="J27" s="1"/>
      <c r="K27" s="1"/>
      <c r="L27" s="1"/>
    </row>
    <row r="28" spans="1:12" ht="46.5" customHeight="1">
      <c r="A28" s="2" t="s">
        <v>137</v>
      </c>
      <c r="B28" s="2">
        <v>35000</v>
      </c>
      <c r="C28" s="7"/>
      <c r="D28" s="19" t="s">
        <v>138</v>
      </c>
      <c r="E28" s="1"/>
      <c r="F28" s="1"/>
      <c r="G28" s="1"/>
      <c r="H28" s="1"/>
      <c r="I28" s="1"/>
      <c r="J28" s="1"/>
      <c r="K28" s="1"/>
      <c r="L28" s="1"/>
    </row>
    <row r="29" spans="1:12" ht="24.75" customHeight="1">
      <c r="A29" s="2" t="s">
        <v>139</v>
      </c>
      <c r="B29" s="6">
        <f>814*0.9</f>
        <v>732.6</v>
      </c>
      <c r="C29" s="7"/>
      <c r="D29" s="19" t="s">
        <v>140</v>
      </c>
      <c r="E29" s="1"/>
      <c r="F29" s="1"/>
      <c r="G29" s="1"/>
      <c r="H29" s="1"/>
      <c r="I29" s="1"/>
      <c r="J29" s="1"/>
      <c r="K29" s="1"/>
      <c r="L29" s="1"/>
    </row>
    <row r="30" spans="1:12" ht="30.75" customHeight="1">
      <c r="A30" s="2" t="s">
        <v>141</v>
      </c>
      <c r="B30" s="2">
        <v>8000</v>
      </c>
      <c r="C30" s="7"/>
      <c r="D30" s="7" t="s">
        <v>131</v>
      </c>
      <c r="E30" s="1"/>
      <c r="F30" s="1"/>
      <c r="G30" s="1"/>
      <c r="H30" s="1"/>
      <c r="I30" s="1"/>
      <c r="J30" s="1"/>
      <c r="K30" s="1"/>
      <c r="L30" s="1"/>
    </row>
    <row r="31" spans="1:12" ht="19.5" customHeight="1">
      <c r="A31" s="30" t="s">
        <v>40</v>
      </c>
      <c r="B31" s="15">
        <f>B19+B20+B23+B24+B25+B26+B27+B28+B29+B30</f>
        <v>116040.20000000001</v>
      </c>
      <c r="C31" s="17"/>
      <c r="D31" s="17"/>
      <c r="E31" s="1"/>
      <c r="F31" s="1"/>
      <c r="G31" s="1"/>
      <c r="H31" s="1"/>
      <c r="I31" s="1"/>
      <c r="J31" s="1"/>
      <c r="K31" s="1"/>
      <c r="L31" s="1"/>
    </row>
    <row r="32" spans="1:12" ht="12">
      <c r="A32" s="28"/>
      <c r="B32" s="28"/>
      <c r="C32" s="28"/>
      <c r="D32" s="28"/>
      <c r="E32" s="1"/>
      <c r="F32" s="1"/>
      <c r="G32" s="1"/>
      <c r="H32" s="1"/>
      <c r="I32" s="1"/>
      <c r="J32" s="1"/>
      <c r="K32" s="1"/>
      <c r="L32" s="1"/>
    </row>
    <row r="33" spans="1:12" ht="12.75">
      <c r="A33" s="3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mergeCells count="4">
    <mergeCell ref="A2:D2"/>
    <mergeCell ref="A4:D4"/>
    <mergeCell ref="A18:D18"/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32" sqref="B32"/>
    </sheetView>
  </sheetViews>
  <sheetFormatPr defaultColWidth="9.140625" defaultRowHeight="12.75"/>
  <cols>
    <col min="1" max="1" width="40.28125" style="0" customWidth="1"/>
    <col min="2" max="2" width="18.28125" style="0" customWidth="1"/>
    <col min="3" max="3" width="18.57421875" style="0" customWidth="1"/>
    <col min="4" max="4" width="36.421875" style="0" customWidth="1"/>
  </cols>
  <sheetData>
    <row r="1" spans="1:11" ht="22.5" customHeight="1">
      <c r="A1" s="122" t="s">
        <v>142</v>
      </c>
      <c r="B1" s="122"/>
      <c r="C1" s="122"/>
      <c r="D1" s="122"/>
      <c r="E1" s="130"/>
      <c r="F1" s="1"/>
      <c r="G1" s="1"/>
      <c r="H1" s="1"/>
      <c r="I1" s="1"/>
      <c r="J1" s="1"/>
      <c r="K1" s="1"/>
    </row>
    <row r="2" spans="1:11" ht="33.75" customHeight="1">
      <c r="A2" s="128" t="s">
        <v>170</v>
      </c>
      <c r="B2" s="126"/>
      <c r="C2" s="126"/>
      <c r="D2" s="127"/>
      <c r="E2" s="22"/>
      <c r="F2" s="1"/>
      <c r="G2" s="1"/>
      <c r="H2" s="1"/>
      <c r="I2" s="1"/>
      <c r="J2" s="1"/>
      <c r="K2" s="1"/>
    </row>
    <row r="3" spans="1:11" ht="12.75">
      <c r="A3" s="2" t="s">
        <v>2</v>
      </c>
      <c r="B3" s="3" t="s">
        <v>3</v>
      </c>
      <c r="C3" s="3" t="s">
        <v>110</v>
      </c>
      <c r="D3" s="4" t="s">
        <v>5</v>
      </c>
      <c r="E3" s="1"/>
      <c r="F3" s="1"/>
      <c r="G3" s="1"/>
      <c r="H3" s="1"/>
      <c r="I3" s="1"/>
      <c r="J3" s="1"/>
      <c r="K3" s="1"/>
    </row>
    <row r="4" spans="1:11" ht="21.75" customHeight="1">
      <c r="A4" s="129" t="s">
        <v>6</v>
      </c>
      <c r="B4" s="116"/>
      <c r="C4" s="116"/>
      <c r="D4" s="117"/>
      <c r="E4" s="1"/>
      <c r="F4" s="1"/>
      <c r="G4" s="1"/>
      <c r="H4" s="1"/>
      <c r="I4" s="1"/>
      <c r="J4" s="1"/>
      <c r="K4" s="1"/>
    </row>
    <row r="5" spans="1:11" ht="19.5" customHeight="1">
      <c r="A5" s="2" t="s">
        <v>7</v>
      </c>
      <c r="B5" s="6">
        <f>B6+B7+B8+B9+B10+B11+B12</f>
        <v>26431</v>
      </c>
      <c r="C5" s="7"/>
      <c r="D5" s="7"/>
      <c r="E5" s="1"/>
      <c r="F5" s="1"/>
      <c r="G5" s="1"/>
      <c r="H5" s="1"/>
      <c r="I5" s="1"/>
      <c r="J5" s="1"/>
      <c r="K5" s="1"/>
    </row>
    <row r="6" spans="1:11" ht="44.25" customHeight="1">
      <c r="A6" s="10" t="s">
        <v>144</v>
      </c>
      <c r="B6" s="7">
        <f>'[1]основная услуга'!C6*2</f>
        <v>6266</v>
      </c>
      <c r="C6" s="7"/>
      <c r="D6" s="7" t="s">
        <v>145</v>
      </c>
      <c r="E6" s="1"/>
      <c r="F6" s="1"/>
      <c r="G6" s="1"/>
      <c r="H6" s="1"/>
      <c r="I6" s="1"/>
      <c r="J6" s="1"/>
      <c r="K6" s="1"/>
    </row>
    <row r="7" spans="1:11" ht="26.25" customHeight="1">
      <c r="A7" s="10" t="s">
        <v>146</v>
      </c>
      <c r="B7" s="11">
        <f>6266*0.75</f>
        <v>4699.5</v>
      </c>
      <c r="C7" s="7"/>
      <c r="D7" s="7"/>
      <c r="E7" s="1"/>
      <c r="F7" s="1"/>
      <c r="G7" s="1"/>
      <c r="H7" s="1"/>
      <c r="I7" s="1"/>
      <c r="J7" s="1"/>
      <c r="K7" s="1"/>
    </row>
    <row r="8" spans="1:11" ht="12">
      <c r="A8" s="10" t="s">
        <v>147</v>
      </c>
      <c r="B8" s="7">
        <f>6266/2</f>
        <v>3133</v>
      </c>
      <c r="C8" s="7"/>
      <c r="D8" s="7"/>
      <c r="E8" s="1"/>
      <c r="F8" s="1"/>
      <c r="G8" s="1"/>
      <c r="H8" s="1"/>
      <c r="I8" s="1"/>
      <c r="J8" s="1"/>
      <c r="K8" s="1"/>
    </row>
    <row r="9" spans="1:11" ht="26.25" customHeight="1">
      <c r="A9" s="10" t="s">
        <v>148</v>
      </c>
      <c r="B9" s="11">
        <f>6266*0.75</f>
        <v>4699.5</v>
      </c>
      <c r="C9" s="7"/>
      <c r="D9" s="7"/>
      <c r="E9" s="1"/>
      <c r="F9" s="1"/>
      <c r="G9" s="1"/>
      <c r="H9" s="1"/>
      <c r="I9" s="1"/>
      <c r="J9" s="1"/>
      <c r="K9" s="1"/>
    </row>
    <row r="10" spans="1:11" ht="25.5" customHeight="1">
      <c r="A10" s="10" t="s">
        <v>149</v>
      </c>
      <c r="B10" s="7">
        <f>4500/2</f>
        <v>2250</v>
      </c>
      <c r="C10" s="7"/>
      <c r="D10" s="7"/>
      <c r="E10" s="1"/>
      <c r="F10" s="1"/>
      <c r="G10" s="1"/>
      <c r="H10" s="1"/>
      <c r="I10" s="1"/>
      <c r="J10" s="1"/>
      <c r="K10" s="1"/>
    </row>
    <row r="11" spans="1:11" ht="28.5" customHeight="1">
      <c r="A11" s="10" t="s">
        <v>150</v>
      </c>
      <c r="B11" s="7">
        <f>6266/2</f>
        <v>3133</v>
      </c>
      <c r="C11" s="7"/>
      <c r="D11" s="7"/>
      <c r="E11" s="1"/>
      <c r="F11" s="1"/>
      <c r="G11" s="1"/>
      <c r="H11" s="1"/>
      <c r="I11" s="1"/>
      <c r="J11" s="1"/>
      <c r="K11" s="1"/>
    </row>
    <row r="12" spans="1:11" ht="28.5" customHeight="1">
      <c r="A12" s="10" t="s">
        <v>151</v>
      </c>
      <c r="B12" s="7">
        <f>4500/2</f>
        <v>2250</v>
      </c>
      <c r="C12" s="7"/>
      <c r="D12" s="7"/>
      <c r="E12" s="1"/>
      <c r="F12" s="1"/>
      <c r="G12" s="1"/>
      <c r="H12" s="1"/>
      <c r="I12" s="1"/>
      <c r="J12" s="1"/>
      <c r="K12" s="1"/>
    </row>
    <row r="13" spans="1:11" ht="12.75">
      <c r="A13" s="2" t="s">
        <v>14</v>
      </c>
      <c r="B13" s="6">
        <f>B5*0.26</f>
        <v>6872.06</v>
      </c>
      <c r="C13" s="7"/>
      <c r="D13" s="7"/>
      <c r="E13" s="1"/>
      <c r="F13" s="1"/>
      <c r="G13" s="1"/>
      <c r="H13" s="1"/>
      <c r="I13" s="1"/>
      <c r="J13" s="1"/>
      <c r="K13" s="1"/>
    </row>
    <row r="14" spans="1:11" ht="34.5" customHeight="1">
      <c r="A14" s="2" t="s">
        <v>152</v>
      </c>
      <c r="B14" s="6">
        <f>'[1]основная услуга'!C12</f>
        <v>9000</v>
      </c>
      <c r="C14" s="7"/>
      <c r="D14" s="7"/>
      <c r="E14" s="1"/>
      <c r="F14" s="1"/>
      <c r="G14" s="1"/>
      <c r="H14" s="1"/>
      <c r="I14" s="1"/>
      <c r="J14" s="1"/>
      <c r="K14" s="1"/>
    </row>
    <row r="15" spans="1:11" ht="36" customHeight="1">
      <c r="A15" s="2" t="s">
        <v>153</v>
      </c>
      <c r="B15" s="6">
        <f>B16+B17+B18</f>
        <v>15000</v>
      </c>
      <c r="C15" s="7"/>
      <c r="D15" s="7" t="s">
        <v>154</v>
      </c>
      <c r="E15" s="1"/>
      <c r="F15" s="1"/>
      <c r="G15" s="1"/>
      <c r="H15" s="1"/>
      <c r="I15" s="1"/>
      <c r="J15" s="1"/>
      <c r="K15" s="1"/>
    </row>
    <row r="16" spans="1:11" ht="36" customHeight="1">
      <c r="A16" s="10" t="s">
        <v>155</v>
      </c>
      <c r="B16" s="19">
        <v>2000</v>
      </c>
      <c r="C16" s="7"/>
      <c r="D16" s="7" t="s">
        <v>156</v>
      </c>
      <c r="E16" s="1"/>
      <c r="F16" s="1"/>
      <c r="G16" s="1"/>
      <c r="H16" s="1"/>
      <c r="I16" s="1"/>
      <c r="J16" s="1"/>
      <c r="K16" s="1"/>
    </row>
    <row r="17" spans="1:11" ht="34.5" customHeight="1">
      <c r="A17" s="10" t="s">
        <v>157</v>
      </c>
      <c r="B17" s="19">
        <f>3000*4</f>
        <v>12000</v>
      </c>
      <c r="C17" s="7"/>
      <c r="D17" s="7" t="s">
        <v>158</v>
      </c>
      <c r="E17" s="1"/>
      <c r="F17" s="1"/>
      <c r="G17" s="1"/>
      <c r="H17" s="1"/>
      <c r="I17" s="1"/>
      <c r="J17" s="1"/>
      <c r="K17" s="1"/>
    </row>
    <row r="18" spans="1:11" ht="33" customHeight="1">
      <c r="A18" s="10" t="s">
        <v>159</v>
      </c>
      <c r="B18" s="29">
        <v>1000</v>
      </c>
      <c r="C18" s="7"/>
      <c r="D18" s="7" t="s">
        <v>160</v>
      </c>
      <c r="E18" s="1"/>
      <c r="F18" s="1"/>
      <c r="G18" s="1"/>
      <c r="H18" s="1"/>
      <c r="I18" s="1"/>
      <c r="J18" s="1"/>
      <c r="K18" s="1"/>
    </row>
    <row r="19" spans="1:11" ht="22.5" customHeight="1">
      <c r="A19" s="34" t="s">
        <v>23</v>
      </c>
      <c r="B19" s="13">
        <f>(('[1]основная услуга'!C24+'[1]основная услуга'!C27+'[1]основная услуга'!C28+'[1]основная услуга'!C30+'[1]услуга максимум'!C23+'[1]услуга максимум'!C25+'[1]услуга максимум'!C27+'[1]услуга максимум'!C28+'[1]услуга максимум'!C29)*0.056)/12</f>
        <v>1269.3044000000002</v>
      </c>
      <c r="C19" s="9"/>
      <c r="D19" s="9"/>
      <c r="E19" s="1"/>
      <c r="F19" s="1"/>
      <c r="G19" s="1"/>
      <c r="H19" s="1"/>
      <c r="I19" s="1"/>
      <c r="J19" s="1"/>
      <c r="K19" s="1"/>
    </row>
    <row r="20" spans="1:11" ht="23.25" customHeight="1">
      <c r="A20" s="26" t="s">
        <v>24</v>
      </c>
      <c r="B20" s="15">
        <f>B5+B13+B14+B15+B19</f>
        <v>58572.3644</v>
      </c>
      <c r="C20" s="17"/>
      <c r="D20" s="17"/>
      <c r="E20" s="1"/>
      <c r="F20" s="1"/>
      <c r="G20" s="1"/>
      <c r="H20" s="1"/>
      <c r="I20" s="1"/>
      <c r="J20" s="1"/>
      <c r="K20" s="1"/>
    </row>
    <row r="21" spans="1:11" ht="22.5" customHeight="1">
      <c r="A21" s="2" t="s">
        <v>25</v>
      </c>
      <c r="B21" s="7"/>
      <c r="C21" s="7"/>
      <c r="D21" s="7"/>
      <c r="E21" s="1"/>
      <c r="F21" s="1"/>
      <c r="G21" s="1"/>
      <c r="H21" s="1"/>
      <c r="I21" s="1"/>
      <c r="J21" s="1"/>
      <c r="K21" s="1"/>
    </row>
    <row r="22" spans="1:11" ht="26.25" customHeight="1">
      <c r="A22" s="2" t="s">
        <v>161</v>
      </c>
      <c r="B22" s="6">
        <f>'[1]основная услуга'!C31</f>
        <v>116040.20000000001</v>
      </c>
      <c r="C22" s="7"/>
      <c r="D22" s="7"/>
      <c r="E22" s="1"/>
      <c r="F22" s="1"/>
      <c r="G22" s="1"/>
      <c r="H22" s="1"/>
      <c r="I22" s="1"/>
      <c r="J22" s="1"/>
      <c r="K22" s="1"/>
    </row>
    <row r="23" spans="1:11" ht="24.75" customHeight="1">
      <c r="A23" s="2" t="s">
        <v>162</v>
      </c>
      <c r="B23" s="2">
        <v>5900</v>
      </c>
      <c r="C23" s="7"/>
      <c r="D23" s="7"/>
      <c r="E23" s="1"/>
      <c r="F23" s="1"/>
      <c r="G23" s="1"/>
      <c r="H23" s="1"/>
      <c r="I23" s="1"/>
      <c r="J23" s="1"/>
      <c r="K23" s="1"/>
    </row>
    <row r="24" spans="1:11" ht="34.5" customHeight="1">
      <c r="A24" s="2" t="s">
        <v>163</v>
      </c>
      <c r="B24" s="6">
        <f>814*0.9</f>
        <v>732.6</v>
      </c>
      <c r="C24" s="7"/>
      <c r="D24" s="7" t="s">
        <v>164</v>
      </c>
      <c r="E24" s="1"/>
      <c r="F24" s="1"/>
      <c r="G24" s="1"/>
      <c r="H24" s="1"/>
      <c r="I24" s="1"/>
      <c r="J24" s="1"/>
      <c r="K24" s="1"/>
    </row>
    <row r="25" spans="1:11" ht="33" customHeight="1">
      <c r="A25" s="2" t="s">
        <v>165</v>
      </c>
      <c r="B25" s="2">
        <v>18500</v>
      </c>
      <c r="C25" s="7"/>
      <c r="D25" s="7" t="s">
        <v>131</v>
      </c>
      <c r="E25" s="1"/>
      <c r="F25" s="1"/>
      <c r="G25" s="1"/>
      <c r="H25" s="1"/>
      <c r="I25" s="1"/>
      <c r="J25" s="1"/>
      <c r="K25" s="1"/>
    </row>
    <row r="26" spans="1:11" ht="28.5" customHeight="1">
      <c r="A26" s="2" t="s">
        <v>166</v>
      </c>
      <c r="B26" s="2">
        <f>814*1.5</f>
        <v>1221</v>
      </c>
      <c r="C26" s="7"/>
      <c r="D26" s="7" t="s">
        <v>167</v>
      </c>
      <c r="E26" s="1"/>
      <c r="F26" s="1"/>
      <c r="G26" s="1"/>
      <c r="H26" s="1"/>
      <c r="I26" s="1"/>
      <c r="J26" s="1"/>
      <c r="K26" s="1"/>
    </row>
    <row r="27" spans="1:11" ht="27.75" customHeight="1">
      <c r="A27" s="2" t="s">
        <v>168</v>
      </c>
      <c r="B27" s="2">
        <v>30000</v>
      </c>
      <c r="C27" s="7"/>
      <c r="D27" s="7" t="s">
        <v>131</v>
      </c>
      <c r="E27" s="1"/>
      <c r="F27" s="1"/>
      <c r="G27" s="1"/>
      <c r="H27" s="1"/>
      <c r="I27" s="1"/>
      <c r="J27" s="1"/>
      <c r="K27" s="1"/>
    </row>
    <row r="28" spans="1:11" ht="31.5" customHeight="1">
      <c r="A28" s="2" t="s">
        <v>136</v>
      </c>
      <c r="B28" s="2">
        <v>30000</v>
      </c>
      <c r="C28" s="7"/>
      <c r="D28" s="7" t="s">
        <v>131</v>
      </c>
      <c r="E28" s="1"/>
      <c r="F28" s="1"/>
      <c r="G28" s="1"/>
      <c r="H28" s="1"/>
      <c r="I28" s="1"/>
      <c r="J28" s="1"/>
      <c r="K28" s="1"/>
    </row>
    <row r="29" spans="1:11" ht="34.5" customHeight="1">
      <c r="A29" s="2" t="s">
        <v>169</v>
      </c>
      <c r="B29" s="2">
        <v>8000</v>
      </c>
      <c r="C29" s="7"/>
      <c r="D29" s="7" t="s">
        <v>131</v>
      </c>
      <c r="E29" s="1"/>
      <c r="F29" s="1"/>
      <c r="G29" s="1"/>
      <c r="H29" s="1"/>
      <c r="I29" s="1"/>
      <c r="J29" s="1"/>
      <c r="K29" s="1"/>
    </row>
    <row r="30" spans="1:11" ht="18" customHeight="1">
      <c r="A30" s="26" t="s">
        <v>40</v>
      </c>
      <c r="B30" s="15">
        <f>B22+B23+B24+B25+B26+B27+B28+B29</f>
        <v>210393.80000000002</v>
      </c>
      <c r="C30" s="17"/>
      <c r="D30" s="17"/>
      <c r="E30" s="1"/>
      <c r="F30" s="1"/>
      <c r="G30" s="1"/>
      <c r="H30" s="1"/>
      <c r="I30" s="1"/>
      <c r="J30" s="1"/>
      <c r="K30" s="1"/>
    </row>
    <row r="31" spans="1:11" ht="12">
      <c r="A31" s="28"/>
      <c r="B31" s="28"/>
      <c r="C31" s="28"/>
      <c r="D31" s="28"/>
      <c r="E31" s="1"/>
      <c r="F31" s="1"/>
      <c r="G31" s="1"/>
      <c r="H31" s="1"/>
      <c r="I31" s="1"/>
      <c r="J31" s="1"/>
      <c r="K31" s="1"/>
    </row>
    <row r="32" spans="1:11" ht="12.75">
      <c r="A32" s="33" t="s">
        <v>303</v>
      </c>
      <c r="B32" s="33">
        <f>'[3]свод'!$B$19</f>
        <v>1872748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3">
    <mergeCell ref="A2:D2"/>
    <mergeCell ref="A4:D4"/>
    <mergeCell ref="A1:E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semirhanova</dc:creator>
  <cp:keywords/>
  <dc:description/>
  <cp:lastModifiedBy>Elena</cp:lastModifiedBy>
  <cp:lastPrinted>2007-01-29T12:09:01Z</cp:lastPrinted>
  <dcterms:created xsi:type="dcterms:W3CDTF">2007-01-29T11:05:10Z</dcterms:created>
  <dcterms:modified xsi:type="dcterms:W3CDTF">2007-03-07T11:32:46Z</dcterms:modified>
  <cp:category/>
  <cp:version/>
  <cp:contentType/>
  <cp:contentStatus/>
</cp:coreProperties>
</file>